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afpb00\OneDrive - Bangor University\Laptop\Documents\PhD Bangor\5_PhD Thesis\1_Chapters\7_Heat recovery toolkit\"/>
    </mc:Choice>
  </mc:AlternateContent>
  <workbookProtection workbookAlgorithmName="SHA-512" workbookHashValue="0M9o7nDHDcz5FK6zyKb7Mx8blA2tXFak7cz2F973sqnEV3KmHdrZFFEtRTec8zFwMUIgSE5d52z94bmDJWS8Pg==" workbookSaltValue="ajQWBRiNF+g2uP/Zhxwv0A==" workbookSpinCount="100000" lockStructure="1"/>
  <bookViews>
    <workbookView xWindow="0" yWindow="0" windowWidth="23040" windowHeight="8616"/>
  </bookViews>
  <sheets>
    <sheet name="Welcome &gt;" sheetId="6" r:id="rId1"/>
    <sheet name="Introduction &gt;" sheetId="1" r:id="rId2"/>
    <sheet name="The heat recovery system &gt;" sheetId="10" r:id="rId3"/>
    <sheet name="Data entry &gt;" sheetId="11" r:id="rId4"/>
    <sheet name="Results !" sheetId="12" r:id="rId5"/>
    <sheet name="Calculations" sheetId="2" state="hidden" r:id="rId6"/>
    <sheet name="Further Readings and References" sheetId="13" r:id="rId7"/>
  </sheets>
  <definedNames>
    <definedName name="costs_parts">Calculations!$B$42:$D$46</definedName>
    <definedName name="currency">Table7["currency"]</definedName>
    <definedName name="energy_footprint">Calculations!$F$71:$L$79</definedName>
    <definedName name="energy_type">Table9[[#All],["energy_type"]]</definedName>
    <definedName name="HelpMeal">'Data entry &gt;'!$U$5</definedName>
    <definedName name="kitchen_heat">Calculations!$F$9:$H$25</definedName>
    <definedName name="kitchen_type">Calculations!$B$33:$C$36</definedName>
    <definedName name="pipe_currency">Calculations!$F$42:$H$42</definedName>
    <definedName name="pipe_footprint">Calculations!$E$86:$G$94</definedName>
    <definedName name="pipe_mat">Calculations!$F$42:$F$45</definedName>
    <definedName name="pipe_material">Calculations!$F$42:$H$45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2" l="1"/>
  <c r="J87" i="2" l="1"/>
  <c r="F51" i="2" l="1"/>
  <c r="F52" i="2"/>
  <c r="F53" i="2"/>
  <c r="F54" i="2"/>
  <c r="F55" i="2"/>
  <c r="F56" i="2"/>
  <c r="F57" i="2"/>
  <c r="S7" i="2" l="1"/>
  <c r="F5" i="12" l="1"/>
  <c r="F3" i="12"/>
  <c r="P30" i="12" l="1"/>
  <c r="T91" i="2"/>
  <c r="T86" i="2"/>
  <c r="T87" i="2"/>
  <c r="T88" i="2"/>
  <c r="T89" i="2"/>
  <c r="T90" i="2"/>
  <c r="T92" i="2"/>
  <c r="T85" i="2"/>
  <c r="P27" i="12"/>
  <c r="P33" i="12"/>
  <c r="S45" i="2"/>
  <c r="S55" i="2"/>
  <c r="H55" i="2"/>
  <c r="G55" i="2" s="1"/>
  <c r="G64" i="2" l="1"/>
  <c r="H53" i="2"/>
  <c r="G53" i="2"/>
  <c r="H54" i="2" l="1"/>
  <c r="H60" i="2"/>
  <c r="O9" i="2" l="1"/>
  <c r="F11" i="2"/>
  <c r="G10" i="2"/>
  <c r="G9" i="2" s="1"/>
  <c r="F10" i="2"/>
  <c r="F35" i="11"/>
  <c r="S9" i="2" l="1"/>
  <c r="S12" i="2" s="1"/>
  <c r="D43" i="2" l="1"/>
  <c r="C42" i="2" l="1"/>
  <c r="H44" i="2"/>
  <c r="H45" i="2"/>
  <c r="H43" i="2"/>
  <c r="O7" i="2"/>
  <c r="O10" i="2"/>
  <c r="D44" i="2"/>
  <c r="D45" i="2"/>
  <c r="H46" i="2"/>
  <c r="D42" i="2"/>
  <c r="H42" i="2" s="1"/>
  <c r="F71" i="2"/>
  <c r="L71" i="2"/>
  <c r="K71" i="2"/>
  <c r="J71" i="2"/>
  <c r="T48" i="2" l="1"/>
  <c r="T58" i="2"/>
  <c r="T47" i="2"/>
  <c r="O12" i="2"/>
  <c r="O14" i="2" s="1"/>
  <c r="T57" i="2"/>
  <c r="G42" i="2"/>
  <c r="T55" i="2" l="1"/>
  <c r="T45" i="2"/>
  <c r="E86" i="2" l="1"/>
  <c r="G86" i="2"/>
  <c r="F86" i="2"/>
  <c r="I71" i="2"/>
  <c r="H71" i="2"/>
  <c r="G71" i="2"/>
  <c r="T97" i="2" l="1"/>
  <c r="T101" i="2"/>
  <c r="T99" i="2"/>
  <c r="T98" i="2"/>
  <c r="T104" i="2"/>
  <c r="T100" i="2"/>
  <c r="T103" i="2"/>
  <c r="T102" i="2"/>
  <c r="J88" i="2"/>
  <c r="J89" i="2"/>
  <c r="J90" i="2"/>
  <c r="J91" i="2"/>
  <c r="J92" i="2"/>
  <c r="J93" i="2"/>
  <c r="J94" i="2"/>
  <c r="H10" i="2" l="1"/>
  <c r="H11" i="2"/>
  <c r="H12" i="2"/>
  <c r="H13" i="2"/>
  <c r="H14" i="2"/>
  <c r="H15" i="2"/>
  <c r="H16" i="2"/>
  <c r="H17" i="2"/>
  <c r="H18" i="2"/>
  <c r="H19" i="2"/>
  <c r="H20" i="2"/>
  <c r="H21" i="2"/>
  <c r="H22" i="2"/>
  <c r="H23" i="2"/>
  <c r="H24" i="2"/>
  <c r="H25" i="2"/>
  <c r="F12" i="2" l="1"/>
  <c r="F13" i="2"/>
  <c r="F14" i="2"/>
  <c r="F15" i="2"/>
  <c r="F16" i="2"/>
  <c r="F17" i="2"/>
  <c r="F18" i="2"/>
  <c r="F19" i="2"/>
  <c r="F20" i="2"/>
  <c r="F21" i="2"/>
  <c r="F22" i="2"/>
  <c r="F23" i="2"/>
  <c r="F24" i="2"/>
  <c r="F25" i="2"/>
  <c r="G19" i="2"/>
  <c r="G20" i="2"/>
  <c r="G21" i="2"/>
  <c r="G22" i="2"/>
  <c r="G23" i="2"/>
  <c r="G24" i="2"/>
  <c r="G25" i="2"/>
  <c r="G18" i="2"/>
  <c r="G11" i="2"/>
  <c r="G12" i="2"/>
  <c r="G13" i="2"/>
  <c r="G14" i="2"/>
  <c r="G15" i="2"/>
  <c r="G16" i="2"/>
  <c r="G17" i="2"/>
  <c r="S86" i="2" l="1"/>
  <c r="S91" i="2"/>
  <c r="V7" i="2"/>
  <c r="V8" i="2" s="1"/>
  <c r="S90" i="2"/>
  <c r="S88" i="2"/>
  <c r="V13" i="2"/>
  <c r="V14" i="2" s="1"/>
  <c r="O42" i="2" s="1"/>
  <c r="O43" i="2" s="1"/>
  <c r="R30" i="12" s="1"/>
  <c r="S89" i="2"/>
  <c r="S87" i="2"/>
  <c r="S43" i="2"/>
  <c r="S97" i="2"/>
  <c r="S92" i="2"/>
  <c r="S85" i="2"/>
  <c r="S53" i="2"/>
  <c r="S101" i="2"/>
  <c r="U101" i="2" s="1"/>
  <c r="S102" i="2"/>
  <c r="U102" i="2" s="1"/>
  <c r="S104" i="2"/>
  <c r="U104" i="2" s="1"/>
  <c r="S103" i="2"/>
  <c r="U103" i="2" s="1"/>
  <c r="S98" i="2"/>
  <c r="U98" i="2" s="1"/>
  <c r="S100" i="2"/>
  <c r="U100" i="2" s="1"/>
  <c r="S99" i="2"/>
  <c r="U99" i="2" s="1"/>
  <c r="U97" i="2" l="1"/>
  <c r="U90" i="2"/>
  <c r="U85" i="2"/>
  <c r="U92" i="2"/>
  <c r="U89" i="2"/>
  <c r="U87" i="2"/>
  <c r="U91" i="2"/>
  <c r="U88" i="2"/>
  <c r="U86" i="2"/>
  <c r="R12" i="12"/>
  <c r="T12" i="12" s="1"/>
  <c r="V9" i="2"/>
  <c r="R14" i="12" s="1"/>
  <c r="O72" i="2"/>
  <c r="V15" i="2"/>
  <c r="T14" i="12" s="1"/>
  <c r="O52" i="2"/>
  <c r="O53" i="2" s="1"/>
  <c r="T30" i="12" s="1"/>
  <c r="R27" i="12"/>
  <c r="T27" i="12" s="1"/>
  <c r="T53" i="2"/>
  <c r="T43" i="2"/>
  <c r="T49" i="2" s="1"/>
  <c r="R33" i="12" s="1"/>
  <c r="O78" i="2"/>
  <c r="Z91" i="2" s="1"/>
  <c r="Z77" i="2" s="1"/>
  <c r="O74" i="2"/>
  <c r="Z87" i="2" s="1"/>
  <c r="O79" i="2"/>
  <c r="Z92" i="2" s="1"/>
  <c r="Z78" i="2" s="1"/>
  <c r="O77" i="2"/>
  <c r="Z90" i="2" s="1"/>
  <c r="Z76" i="2" s="1"/>
  <c r="O73" i="2"/>
  <c r="Z86" i="2" s="1"/>
  <c r="O75" i="2"/>
  <c r="Z88" i="2" s="1"/>
  <c r="Z74" i="2" s="1"/>
  <c r="O76" i="2"/>
  <c r="Z89" i="2" s="1"/>
  <c r="Z75" i="2" s="1"/>
  <c r="O44" i="2"/>
  <c r="O54" i="2"/>
  <c r="T59" i="2" l="1"/>
  <c r="Y97" i="2"/>
  <c r="Y109" i="2" s="1"/>
  <c r="B124" i="2"/>
  <c r="J15" i="12" s="1"/>
  <c r="Z73" i="2"/>
  <c r="Y85" i="2"/>
  <c r="Y72" i="2" s="1"/>
  <c r="Y91" i="2"/>
  <c r="Y77" i="2" s="1"/>
  <c r="AA91" i="2"/>
  <c r="AA77" i="2" s="1"/>
  <c r="AA85" i="2"/>
  <c r="Y92" i="2"/>
  <c r="Y78" i="2" s="1"/>
  <c r="AA87" i="2"/>
  <c r="AA90" i="2"/>
  <c r="AA76" i="2" s="1"/>
  <c r="Y90" i="2"/>
  <c r="Y76" i="2" s="1"/>
  <c r="AA86" i="2"/>
  <c r="AA89" i="2"/>
  <c r="AA75" i="2" s="1"/>
  <c r="Y86" i="2"/>
  <c r="H19" i="12"/>
  <c r="AA97" i="2"/>
  <c r="Y87" i="2"/>
  <c r="Z85" i="2"/>
  <c r="Z72" i="2" s="1"/>
  <c r="Z97" i="2"/>
  <c r="Z109" i="2" s="1"/>
  <c r="AA88" i="2"/>
  <c r="AA74" i="2" s="1"/>
  <c r="AA92" i="2"/>
  <c r="AA78" i="2" s="1"/>
  <c r="Y88" i="2"/>
  <c r="Y74" i="2" s="1"/>
  <c r="Y89" i="2"/>
  <c r="Y75" i="2" s="1"/>
  <c r="O97" i="2"/>
  <c r="F19" i="12"/>
  <c r="O92" i="2"/>
  <c r="O104" i="2"/>
  <c r="AE104" i="2" s="1"/>
  <c r="AF104" i="2" s="1"/>
  <c r="O88" i="2"/>
  <c r="O100" i="2"/>
  <c r="AE100" i="2" s="1"/>
  <c r="AA99" i="2"/>
  <c r="O87" i="2"/>
  <c r="O99" i="2"/>
  <c r="AE99" i="2" s="1"/>
  <c r="Z99" i="2"/>
  <c r="O86" i="2"/>
  <c r="O98" i="2"/>
  <c r="AE98" i="2" s="1"/>
  <c r="O85" i="2"/>
  <c r="F15" i="12" s="1"/>
  <c r="O103" i="2"/>
  <c r="AE103" i="2" s="1"/>
  <c r="O91" i="2"/>
  <c r="O90" i="2"/>
  <c r="O102" i="2"/>
  <c r="AE102" i="2" s="1"/>
  <c r="O89" i="2"/>
  <c r="O101" i="2"/>
  <c r="AE101" i="2" s="1"/>
  <c r="F12" i="12"/>
  <c r="H12" i="12" s="1"/>
  <c r="X44" i="2"/>
  <c r="R36" i="12" s="1"/>
  <c r="X43" i="2"/>
  <c r="X42" i="2"/>
  <c r="Z103" i="2"/>
  <c r="Z112" i="2" s="1"/>
  <c r="AA103" i="2"/>
  <c r="AA112" i="2" s="1"/>
  <c r="Z102" i="2"/>
  <c r="Z111" i="2" s="1"/>
  <c r="AA102" i="2"/>
  <c r="AA111" i="2" s="1"/>
  <c r="Z100" i="2"/>
  <c r="AA100" i="2"/>
  <c r="Z98" i="2"/>
  <c r="AA98" i="2"/>
  <c r="Z101" i="2"/>
  <c r="Z110" i="2" s="1"/>
  <c r="AA101" i="2"/>
  <c r="AA110" i="2" s="1"/>
  <c r="Z104" i="2"/>
  <c r="Z113" i="2" s="1"/>
  <c r="AA104" i="2"/>
  <c r="AA113" i="2" s="1"/>
  <c r="Y101" i="2"/>
  <c r="Y110" i="2" s="1"/>
  <c r="Y102" i="2"/>
  <c r="Y111" i="2" s="1"/>
  <c r="Y100" i="2"/>
  <c r="Y104" i="2"/>
  <c r="Y113" i="2" s="1"/>
  <c r="Y99" i="2"/>
  <c r="Y98" i="2"/>
  <c r="Y103" i="2"/>
  <c r="Y112" i="2" s="1"/>
  <c r="X52" i="2" l="1"/>
  <c r="T33" i="12"/>
  <c r="P56" i="12" s="1"/>
  <c r="X53" i="2"/>
  <c r="X54" i="2"/>
  <c r="T36" i="12" s="1"/>
  <c r="H15" i="12"/>
  <c r="AE97" i="2"/>
  <c r="AF97" i="2" s="1"/>
  <c r="Y73" i="2"/>
  <c r="H22" i="12"/>
  <c r="AA109" i="2"/>
  <c r="AA73" i="2"/>
  <c r="F22" i="12"/>
  <c r="AA72" i="2"/>
  <c r="AF102" i="2"/>
  <c r="AF103" i="2"/>
  <c r="AF100" i="2"/>
  <c r="AF101" i="2"/>
  <c r="AF98" i="2"/>
  <c r="AF99" i="2"/>
  <c r="P63" i="12" l="1"/>
  <c r="P64" i="12"/>
  <c r="P59" i="12"/>
  <c r="P60" i="12"/>
</calcChain>
</file>

<file path=xl/comments1.xml><?xml version="1.0" encoding="utf-8"?>
<comments xmlns="http://schemas.openxmlformats.org/spreadsheetml/2006/main">
  <authors>
    <author>Isabel Schestak</author>
  </authors>
  <commentList>
    <comment ref="N44" authorId="0" shapeId="0">
      <text>
        <r>
          <rPr>
            <b/>
            <sz val="9"/>
            <color indexed="81"/>
            <rFont val="Tahoma"/>
            <family val="2"/>
          </rPr>
          <t>Isabel Schestak:</t>
        </r>
        <r>
          <rPr>
            <sz val="9"/>
            <color indexed="81"/>
            <rFont val="Tahoma"/>
            <family val="2"/>
          </rPr>
          <t xml:space="preserve">
PV =present value
</t>
        </r>
      </text>
    </comment>
    <comment ref="B49" authorId="0" shapeId="0">
      <text>
        <r>
          <rPr>
            <b/>
            <sz val="9"/>
            <color indexed="81"/>
            <rFont val="Tahoma"/>
            <family val="2"/>
          </rPr>
          <t>Isabel Schestak:</t>
        </r>
        <r>
          <rPr>
            <sz val="9"/>
            <color indexed="81"/>
            <rFont val="Tahoma"/>
            <family val="2"/>
          </rPr>
          <t xml:space="preserve">
Table created with:
Mark&gt;Insert&gt;table&gt;table contains header</t>
        </r>
      </text>
    </comment>
    <comment ref="H51" authorId="0" shapeId="0">
      <text>
        <r>
          <rPr>
            <b/>
            <sz val="9"/>
            <color indexed="81"/>
            <rFont val="Tahoma"/>
            <family val="2"/>
          </rPr>
          <t>Isabel Schestak:</t>
        </r>
        <r>
          <rPr>
            <sz val="9"/>
            <color indexed="81"/>
            <rFont val="Tahoma"/>
            <family val="2"/>
          </rPr>
          <t xml:space="preserve">
medium industrial consumers</t>
        </r>
      </text>
    </comment>
    <comment ref="G52" authorId="0" shapeId="0">
      <text>
        <r>
          <rPr>
            <b/>
            <sz val="9"/>
            <color indexed="81"/>
            <rFont val="Tahoma"/>
            <family val="2"/>
          </rPr>
          <t>Isabel Schestak:</t>
        </r>
        <r>
          <rPr>
            <sz val="9"/>
            <color indexed="81"/>
            <rFont val="Tahoma"/>
            <family val="2"/>
          </rPr>
          <t xml:space="preserve">
this includes the 1.4% inflation: 2.3 - 1.4 = 0.9% of real price increase per year. Explained in document text.</t>
        </r>
      </text>
    </comment>
    <comment ref="N54" authorId="0" shapeId="0">
      <text>
        <r>
          <rPr>
            <b/>
            <sz val="9"/>
            <color indexed="81"/>
            <rFont val="Tahoma"/>
            <family val="2"/>
          </rPr>
          <t>Isabel Schestak:</t>
        </r>
        <r>
          <rPr>
            <sz val="9"/>
            <color indexed="81"/>
            <rFont val="Tahoma"/>
            <family val="2"/>
          </rPr>
          <t xml:space="preserve">
PV =present value
</t>
        </r>
      </text>
    </comment>
    <comment ref="G71" authorId="0" shapeId="0">
      <text>
        <r>
          <rPr>
            <b/>
            <sz val="9"/>
            <color indexed="81"/>
            <rFont val="Tahoma"/>
            <family val="2"/>
          </rPr>
          <t>Isabel Schestak:</t>
        </r>
        <r>
          <rPr>
            <sz val="9"/>
            <color indexed="81"/>
            <rFont val="Tahoma"/>
            <family val="2"/>
          </rPr>
          <t xml:space="preserve">
marginal grid electricity: from CC gas power plant</t>
        </r>
      </text>
    </comment>
    <comment ref="L71" authorId="0" shapeId="0">
      <text>
        <r>
          <rPr>
            <b/>
            <sz val="9"/>
            <color indexed="81"/>
            <rFont val="Tahoma"/>
            <family val="2"/>
          </rPr>
          <t>Isabel Schestak:</t>
        </r>
        <r>
          <rPr>
            <sz val="9"/>
            <color indexed="81"/>
            <rFont val="Tahoma"/>
            <family val="2"/>
          </rPr>
          <t xml:space="preserve">
electricity from decarbonised grid</t>
        </r>
      </text>
    </comment>
  </commentList>
</comments>
</file>

<file path=xl/sharedStrings.xml><?xml version="1.0" encoding="utf-8"?>
<sst xmlns="http://schemas.openxmlformats.org/spreadsheetml/2006/main" count="664" uniqueCount="385">
  <si>
    <t>copper</t>
  </si>
  <si>
    <t xml:space="preserve">Monday  </t>
  </si>
  <si>
    <t xml:space="preserve">Tuesday  </t>
  </si>
  <si>
    <t xml:space="preserve">Wednesday  </t>
  </si>
  <si>
    <t xml:space="preserve">Thursday  </t>
  </si>
  <si>
    <t xml:space="preserve">Friday  </t>
  </si>
  <si>
    <t xml:space="preserve">Saturday  </t>
  </si>
  <si>
    <t xml:space="preserve">Sunday  </t>
  </si>
  <si>
    <t xml:space="preserve">Water use  </t>
  </si>
  <si>
    <t>Water Consumption</t>
  </si>
  <si>
    <t># QB1-16</t>
  </si>
  <si>
    <t>Heat Recovery</t>
  </si>
  <si>
    <t xml:space="preserve"> (l/day)</t>
  </si>
  <si>
    <t>pipes</t>
  </si>
  <si>
    <t>(kWh/day)</t>
  </si>
  <si>
    <t>kwh/L</t>
  </si>
  <si>
    <t>assumption:</t>
  </si>
  <si>
    <t>hours</t>
  </si>
  <si>
    <t>L/hour</t>
  </si>
  <si>
    <t>hours/year</t>
  </si>
  <si>
    <t>m3/year</t>
  </si>
  <si>
    <t>restaurant</t>
  </si>
  <si>
    <t>hotel</t>
  </si>
  <si>
    <t>reference: WRAP report</t>
  </si>
  <si>
    <t>L/meal</t>
  </si>
  <si>
    <t>l/meal</t>
  </si>
  <si>
    <t>(take value from Option A or B)</t>
  </si>
  <si>
    <t>heat recovery</t>
  </si>
  <si>
    <t>water use (A)</t>
  </si>
  <si>
    <t>water use (B)</t>
  </si>
  <si>
    <t>kWh/L</t>
  </si>
  <si>
    <t>"kitchen_type"</t>
  </si>
  <si>
    <t>"kitchen_heat"</t>
  </si>
  <si>
    <t>kWh/year</t>
  </si>
  <si>
    <t>heat exchanger pipe</t>
  </si>
  <si>
    <t>heat exchanger</t>
  </si>
  <si>
    <t>£</t>
  </si>
  <si>
    <t>pipework</t>
  </si>
  <si>
    <t>labour (installation works)</t>
  </si>
  <si>
    <t>sum</t>
  </si>
  <si>
    <t>natural gas</t>
  </si>
  <si>
    <t>solar thermal</t>
  </si>
  <si>
    <t>geo thermal</t>
  </si>
  <si>
    <t>other fittings</t>
  </si>
  <si>
    <t>https://www.pipelife.co.uk/uk/media/pdfs/Pipelife-UK-2018-PRICELIST-Web.pdf?m=1526019819&amp;</t>
  </si>
  <si>
    <t>Pipelife UK 2018 price list. PEX barrier pipe, 28mm x 3m. Price: 15.22</t>
  </si>
  <si>
    <t>assume 4 fittings with each £10 (two fittings to fit heat ex, 2 fittings to connect heat ex with boiler</t>
  </si>
  <si>
    <t>years</t>
  </si>
  <si>
    <t>canteen: staff catering, schools, universities</t>
  </si>
  <si>
    <t>quick service: pub, fast food, cafe, take away, mobile catering etc.</t>
  </si>
  <si>
    <t>hotel: restaurant in a hotel</t>
  </si>
  <si>
    <t>restaurant: with table service; includes: hospital, care/nursing home</t>
  </si>
  <si>
    <t>quick service</t>
  </si>
  <si>
    <t>canteen</t>
  </si>
  <si>
    <t>VLOOKUP</t>
  </si>
  <si>
    <t>"energy_type"</t>
  </si>
  <si>
    <t>The installation of a vertical heat exchanger requires an approx. 2m high drop of the drain pipe, where it will be replaced by the heat exchanger.</t>
  </si>
  <si>
    <t xml:space="preserve">The core part is the heat exchanger. And that's almost it.  </t>
  </si>
  <si>
    <t>Perfect!</t>
  </si>
  <si>
    <t>Let's get started!</t>
  </si>
  <si>
    <t>Footprint heat recovery system</t>
  </si>
  <si>
    <t>impact category</t>
  </si>
  <si>
    <t>GWP</t>
  </si>
  <si>
    <t>HTP</t>
  </si>
  <si>
    <t>POFP</t>
  </si>
  <si>
    <t>AP</t>
  </si>
  <si>
    <t>FEP</t>
  </si>
  <si>
    <t>FEtoxP</t>
  </si>
  <si>
    <t>RDP</t>
  </si>
  <si>
    <t>heat ex = one complete heat ex, incl accessories, packaging, transport, EoL</t>
  </si>
  <si>
    <t>1m PE pipe</t>
  </si>
  <si>
    <t>1m PE pipe = pipe incl insulation, packaging, transport, EoL</t>
  </si>
  <si>
    <t>1 heat ex</t>
  </si>
  <si>
    <t>1m steel pipe</t>
  </si>
  <si>
    <t>1m copper pipe</t>
  </si>
  <si>
    <t>heat ex and copper pipe: 35% recycled content</t>
  </si>
  <si>
    <t>Footprint of energy supply</t>
  </si>
  <si>
    <t>kg CO2 eq</t>
  </si>
  <si>
    <t>CTUh</t>
  </si>
  <si>
    <t>CTUe</t>
  </si>
  <si>
    <t>kg NMVOC eq</t>
  </si>
  <si>
    <t>molc H+ eq</t>
  </si>
  <si>
    <t>kg P eq</t>
  </si>
  <si>
    <t>kg Sb eq</t>
  </si>
  <si>
    <t>electricity</t>
  </si>
  <si>
    <t>wood chips</t>
  </si>
  <si>
    <t>light fuel oil</t>
  </si>
  <si>
    <t xml:space="preserve">GWP </t>
  </si>
  <si>
    <t xml:space="preserve">POFP </t>
  </si>
  <si>
    <t xml:space="preserve">AP </t>
  </si>
  <si>
    <t xml:space="preserve">FEP </t>
  </si>
  <si>
    <t xml:space="preserve">FEtoxP </t>
  </si>
  <si>
    <t xml:space="preserve">RDP </t>
  </si>
  <si>
    <t xml:space="preserve"> kg CO2 eq</t>
  </si>
  <si>
    <t xml:space="preserve"> CTUh</t>
  </si>
  <si>
    <t xml:space="preserve"> kg NMVOC eq</t>
  </si>
  <si>
    <t xml:space="preserve"> molc H+ eq</t>
  </si>
  <si>
    <t xml:space="preserve"> kg P eq</t>
  </si>
  <si>
    <t xml:space="preserve"> CTUe</t>
  </si>
  <si>
    <t xml:space="preserve"> kg Sb eq</t>
  </si>
  <si>
    <t>pipework factor</t>
  </si>
  <si>
    <t>assume twice the distance, for connection of fresh water supply and boiler to the heat exchanger</t>
  </si>
  <si>
    <t>saved footprint energy supply (per year)</t>
  </si>
  <si>
    <t>The names of the energy supply need to match the names in "energy_type" table</t>
  </si>
  <si>
    <t>"energy_footprint"</t>
  </si>
  <si>
    <t>per kWh</t>
  </si>
  <si>
    <t xml:space="preserve"> years</t>
  </si>
  <si>
    <t>kWh after end of run-time</t>
  </si>
  <si>
    <t>unit</t>
  </si>
  <si>
    <t>normalised</t>
  </si>
  <si>
    <t>HTP non-canc</t>
  </si>
  <si>
    <t>HTP cancer</t>
  </si>
  <si>
    <t xml:space="preserve">HTP non-canc </t>
  </si>
  <si>
    <t xml:space="preserve">HTP canc </t>
  </si>
  <si>
    <t>normalisation factors</t>
  </si>
  <si>
    <t xml:space="preserve"> normalised</t>
  </si>
  <si>
    <t>Congrats!</t>
  </si>
  <si>
    <t>"pipe_material"</t>
  </si>
  <si>
    <t>steel</t>
  </si>
  <si>
    <t>1m pipework</t>
  </si>
  <si>
    <t>The names of the pipe material need to match the names in "pipe_material" table</t>
  </si>
  <si>
    <t>"pipe_footprint"</t>
  </si>
  <si>
    <t>row index nr</t>
  </si>
  <si>
    <t>Hex</t>
  </si>
  <si>
    <t>total</t>
  </si>
  <si>
    <t>*(-1)</t>
  </si>
  <si>
    <t>Results</t>
  </si>
  <si>
    <t>Thanks for making this work possible to:</t>
  </si>
  <si>
    <t>Welcome to our heat recovery toolkit!</t>
  </si>
  <si>
    <t>"currency"</t>
  </si>
  <si>
    <t>OR</t>
  </si>
  <si>
    <t xml:space="preserve">  [click to see list]</t>
  </si>
  <si>
    <t>this table automatically expands when entry is added below</t>
  </si>
  <si>
    <t>"costs_parts"</t>
  </si>
  <si>
    <t>total price</t>
  </si>
  <si>
    <t>#pieces</t>
  </si>
  <si>
    <t>#meters</t>
  </si>
  <si>
    <t>£/Euro</t>
  </si>
  <si>
    <t>£/Euro/runtime</t>
  </si>
  <si>
    <t>£/Euro after end of run-time</t>
  </si>
  <si>
    <t>Text for environment result:</t>
  </si>
  <si>
    <t>Oooops, no emissions saved…</t>
  </si>
  <si>
    <t xml:space="preserve">  £ net</t>
  </si>
  <si>
    <t xml:space="preserve">  € net</t>
  </si>
  <si>
    <t>UK</t>
  </si>
  <si>
    <t>Ireland</t>
  </si>
  <si>
    <t>unit price</t>
  </si>
  <si>
    <t>exchange rate</t>
  </si>
  <si>
    <t>exchange rate for installation costs</t>
  </si>
  <si>
    <t>[100%] per year</t>
  </si>
  <si>
    <t>£/Euro/first year</t>
  </si>
  <si>
    <t>opening time</t>
  </si>
  <si>
    <t>green electricity</t>
  </si>
  <si>
    <t>openint times (A)</t>
  </si>
  <si>
    <t>opening times (B)</t>
  </si>
  <si>
    <t>Yearly heat recovery [kWh]</t>
  </si>
  <si>
    <t>Annual savings [£]</t>
  </si>
  <si>
    <t>Annual savings [€]</t>
  </si>
  <si>
    <t>Investment costs [£]</t>
  </si>
  <si>
    <t>Total savings [£]</t>
  </si>
  <si>
    <t>Total savings [€]</t>
  </si>
  <si>
    <t>Investment costs [€]</t>
  </si>
  <si>
    <t>heat recovery potential estimated with 8hours/day water use</t>
  </si>
  <si>
    <t>Heat recovery per L/day</t>
  </si>
  <si>
    <t>Heat recovery per L/hour</t>
  </si>
  <si>
    <t>Water per meal</t>
  </si>
  <si>
    <t>Financial savings potential</t>
  </si>
  <si>
    <t>Heat recovery potential</t>
  </si>
  <si>
    <t>Currency</t>
  </si>
  <si>
    <t>Ref:</t>
  </si>
  <si>
    <t>€</t>
  </si>
  <si>
    <t>The names of the country need to match the names in "currency" table</t>
  </si>
  <si>
    <t>Costs 1</t>
  </si>
  <si>
    <t>Costs 2</t>
  </si>
  <si>
    <t>£ per meter</t>
  </si>
  <si>
    <t>€ per meter</t>
  </si>
  <si>
    <t>Price development</t>
  </si>
  <si>
    <t>Environmental Savings Potential</t>
  </si>
  <si>
    <t>Background data</t>
  </si>
  <si>
    <t>Calculations</t>
  </si>
  <si>
    <t>#</t>
  </si>
  <si>
    <t>Water use</t>
  </si>
  <si>
    <t>Opening times</t>
  </si>
  <si>
    <t>savings first year</t>
  </si>
  <si>
    <t>[years]</t>
  </si>
  <si>
    <t>energy price increase</t>
  </si>
  <si>
    <t>plastic (PE)</t>
  </si>
  <si>
    <t>total oper. savings (PV)</t>
  </si>
  <si>
    <t>NPV, end of lifetime</t>
  </si>
  <si>
    <t>Discounted payback time</t>
  </si>
  <si>
    <t>Simple payback time</t>
  </si>
  <si>
    <t>[years] using average PV of annual cash flows</t>
  </si>
  <si>
    <t>retail gas price increase for households per year, Europe, 2010-2019</t>
  </si>
  <si>
    <t>inflation measured through consumer price index, per year, Europe, 2010-2019</t>
  </si>
  <si>
    <t>inlfation of prices of industrial products, per year, Europe, 2010-2019</t>
  </si>
  <si>
    <t>fuel</t>
  </si>
  <si>
    <t>households</t>
  </si>
  <si>
    <t>industry</t>
  </si>
  <si>
    <t>diesel</t>
  </si>
  <si>
    <t>general inflation</t>
  </si>
  <si>
    <t>retail electricity price increase, per year, Europe, average:2010-2019. European comission: Energy prices and costs in Europe</t>
  </si>
  <si>
    <t>retail diese price increase, per year, Europe, 2016-2019 (before it fell!) no distinction between households and industry</t>
  </si>
  <si>
    <t>Energy price increase</t>
  </si>
  <si>
    <t>retail heating oil price increase, per year, Europe, 2016-2019 (before it fell!) no distinction between households and industry</t>
  </si>
  <si>
    <t>assume same as grid electricity</t>
  </si>
  <si>
    <t>discount rate</t>
  </si>
  <si>
    <t>VLOOKUP: household price increase</t>
  </si>
  <si>
    <t>5% discount rate in Stec et al 2017 on heat recovery from domestic drains. LCC, but no NPV</t>
  </si>
  <si>
    <t>considers (nominal) price increase and (nominal) discount rate: https://xplaind.com/264707/npv-and-inflation</t>
  </si>
  <si>
    <t xml:space="preserve">  </t>
  </si>
  <si>
    <t>inflation corrected price forecast for production price of wood chips, EU, 2015-2030 (Heat Roadmap Europe). Plus inflation</t>
  </si>
  <si>
    <t>https://assets.publishing.service.gov.uk/government/uploads/system/uploads/attachment_data/file/904823/DUKES_2020_Chapter_6.pdf</t>
  </si>
  <si>
    <t>Data entry</t>
  </si>
  <si>
    <t>Installation costs: default with PE for pipes</t>
  </si>
  <si>
    <t>Installation costs: sensitivity for pipe material</t>
  </si>
  <si>
    <t>Operational savings: default life time 10 years</t>
  </si>
  <si>
    <t>Operational savings: sensitivity life time</t>
  </si>
  <si>
    <t>Net savings: default: PE pipes, lifetime 10 years</t>
  </si>
  <si>
    <t>default life time:</t>
  </si>
  <si>
    <t>Net savings: sensitivity for pipe material and life time</t>
  </si>
  <si>
    <t>Heat recovery: default lifetime 10 years</t>
  </si>
  <si>
    <t>Heat recovery: sensitivity lifetime</t>
  </si>
  <si>
    <t>Financial assessment</t>
  </si>
  <si>
    <t>Total heat recovery over life time [kWh]</t>
  </si>
  <si>
    <t>Simple payback period [years]</t>
  </si>
  <si>
    <t>Time of service life after which your installation costs are paid back through the annual savings above.</t>
  </si>
  <si>
    <t>Net value over the life time [£]</t>
  </si>
  <si>
    <t>Net value over the life time [€]</t>
  </si>
  <si>
    <t>Carbon savings</t>
  </si>
  <si>
    <t>pipe material</t>
  </si>
  <si>
    <r>
      <t>Annual carbon savings [kg CO</t>
    </r>
    <r>
      <rPr>
        <b/>
        <sz val="8"/>
        <color theme="1"/>
        <rFont val="Calibri"/>
        <family val="2"/>
        <scheme val="minor"/>
      </rPr>
      <t>2</t>
    </r>
    <r>
      <rPr>
        <b/>
        <sz val="11"/>
        <color theme="1"/>
        <rFont val="Calibri"/>
        <family val="2"/>
        <scheme val="minor"/>
      </rPr>
      <t xml:space="preserve"> eq]</t>
    </r>
  </si>
  <si>
    <t>Carbon payback time [years]</t>
  </si>
  <si>
    <t>Time of service life after which you start saving carbon emissions and our climate! Considers the carbon investment above.</t>
  </si>
  <si>
    <t>Total amount of carbon emissions saved during service life.</t>
  </si>
  <si>
    <t>footprint heat recovery system: sensitivity</t>
  </si>
  <si>
    <t>payback time (in years): sensitivity</t>
  </si>
  <si>
    <t>saved footprint at the end of run-time (normalisation): sensitivity</t>
  </si>
  <si>
    <t>footprint heat recovery system: default pipework PE</t>
  </si>
  <si>
    <t>The costs you save over the whole service life.</t>
  </si>
  <si>
    <t>total oper. Savings (simple)</t>
  </si>
  <si>
    <t>Total operational savings [£]</t>
  </si>
  <si>
    <t>Total operational savings [€]</t>
  </si>
  <si>
    <r>
      <t>Total operational carbon savings [kg CO</t>
    </r>
    <r>
      <rPr>
        <b/>
        <sz val="8"/>
        <color theme="1"/>
        <rFont val="Calibri"/>
        <family val="2"/>
        <scheme val="minor"/>
      </rPr>
      <t xml:space="preserve">2 </t>
    </r>
    <r>
      <rPr>
        <b/>
        <sz val="12"/>
        <color theme="1"/>
        <rFont val="Calibri"/>
        <family val="2"/>
        <scheme val="minor"/>
      </rPr>
      <t>eq</t>
    </r>
    <r>
      <rPr>
        <b/>
        <sz val="11"/>
        <color theme="1"/>
        <rFont val="Calibri"/>
        <family val="2"/>
        <scheme val="minor"/>
      </rPr>
      <t>]</t>
    </r>
  </si>
  <si>
    <t>energy</t>
  </si>
  <si>
    <t>Total operational savings of energy footprint, 10 years</t>
  </si>
  <si>
    <t>pipework (PE)</t>
  </si>
  <si>
    <t>Total operational savings of energy at the end of service life: sensitivity</t>
  </si>
  <si>
    <t>payback time (in years): default</t>
  </si>
  <si>
    <t>HTP as sum of non-canc and cancer</t>
  </si>
  <si>
    <t>custom:</t>
  </si>
  <si>
    <t>CC</t>
  </si>
  <si>
    <t>Conclusion</t>
  </si>
  <si>
    <t>Toolkit coordinator: isabel.schestak@bangor.ac.uk</t>
  </si>
  <si>
    <t>Project website: www.dwr-uisce.eu</t>
  </si>
  <si>
    <t>Decision support for heat recovery from kitchen drain water</t>
  </si>
  <si>
    <t>or:</t>
  </si>
  <si>
    <t xml:space="preserve">service years </t>
  </si>
  <si>
    <t>[pence/kWh]</t>
  </si>
  <si>
    <t>[cent/kWh]</t>
  </si>
  <si>
    <t xml:space="preserve"> Who is this toolkit made for?</t>
  </si>
  <si>
    <t xml:space="preserve"> What does the toolkit calculate?</t>
  </si>
  <si>
    <t xml:space="preserve"> Financial benefits</t>
  </si>
  <si>
    <t xml:space="preserve"> Environmental benefits</t>
  </si>
  <si>
    <t xml:space="preserve"> Conclusion</t>
  </si>
  <si>
    <t xml:space="preserve"> How does the heat recovery system work?</t>
  </si>
  <si>
    <t xml:space="preserve"> Which equipment do I need?</t>
  </si>
  <si>
    <t xml:space="preserve"> Is it possible to install this system for my kitchen?</t>
  </si>
  <si>
    <t xml:space="preserve"> Water use</t>
  </si>
  <si>
    <t xml:space="preserve"> Opening times</t>
  </si>
  <si>
    <t xml:space="preserve"> Current energy source</t>
  </si>
  <si>
    <t xml:space="preserve"> Installation</t>
  </si>
  <si>
    <t>Transport &amp; Environment (2018) CO2 EMISSIONS FROM CARS: the facts. Brussels, Belgium.</t>
  </si>
  <si>
    <t>https://www.transportenvironment.org/sites/te/files/publications/2018_04_CO2_emissions_cars_The_facts_report_final_0_0.pdf</t>
  </si>
  <si>
    <t>This equals</t>
  </si>
  <si>
    <t>g CO2/km</t>
  </si>
  <si>
    <t>km per year</t>
  </si>
  <si>
    <t>avoided car-km per year!</t>
  </si>
  <si>
    <t>Emission of an average European gasoline car:</t>
  </si>
  <si>
    <t>References illustrations:</t>
  </si>
  <si>
    <t>Further readings</t>
  </si>
  <si>
    <t>Most of our background calculations are based on published scientific literature of the Dwr Uisce project team:</t>
  </si>
  <si>
    <t>Spriet, J., McNabola, A., 2019. Decentralized drain water heat recovery from commercial kitchens in the hospitality sector. Energy Build. 194, 247–259</t>
  </si>
  <si>
    <t>Other interesting publications, including practical guidance, around water and energy efficiency, including for the hospitality secctor can be found here:</t>
  </si>
  <si>
    <t>Carbon Trust, 2011: Heat recovery. A guide to key systems and applications</t>
  </si>
  <si>
    <t xml:space="preserve">Carbon Trust, 2018:  Hospitality sector energy saving guide. Energy efficiency advice for hotels and the hospitality industry, including pubs and restaurants.
</t>
  </si>
  <si>
    <t>Carbon Trust, 2019. Refrigeration guide. Improve the energy efficiency of your chillers and refrigeration systems with our energy-saving guidance</t>
  </si>
  <si>
    <t>[1] &lt;a href='https://www.freepik.com/vectors/food'&gt;Food vector created by pch.vector - www.freepik.com&lt;/a&gt;</t>
  </si>
  <si>
    <t>[2] &lt;a href='https://www.freepik.com/vectors/people'&gt;People vector created by pch.vector - www.freepik.com&lt;/a&gt;</t>
  </si>
  <si>
    <t>[3] &lt;a href='https://www.freepik.com/vectors/world'&gt;World vector created by freepik - www.freepik.com&lt;/a&gt;</t>
  </si>
  <si>
    <t>[4] https://showersave.com/vertical-wwhrs/</t>
  </si>
  <si>
    <t>[5] Image by &lt;a href="https://pixabay.com/users/clker-free-vector-images-3736/?utm_source=link-attribution&amp;amp;utm_medium=referral&amp;amp;utm_campaign=image&amp;amp;utm_content=33866"&gt;Clker-Free-Vector-Images&lt;/a&gt; from &lt;a href="https://pixabay.com/?utm_source=link-attribution&amp;amp;utm_medium=referral&amp;amp;utm_campaign=image&amp;amp;utm_content=33866"&gt;Pixabay&lt;/a&gt;</t>
  </si>
  <si>
    <t>Irish Water. Water Conservation in the Hospitality Sector, incl. link to "Water Management Good Practice Guide"</t>
  </si>
  <si>
    <t>Schestak, I., Spriet, J., Styles, D., Williams, A.P., 2020. Emissions down the drain: Balancing life cycle energy and greenhouse gas savings with resource use for heat recovery from kitchen drains. J. Environ. Manage. 271, 110988. https://doi.org/10.1016/</t>
  </si>
  <si>
    <t>Spriet, J., McNabola, A., 2019b. Drain Water Heat Recovery in Commercial Kitchens: Case of Tourist Attraction, 14th Conference on Sustainable Development of Energy, Water and Environment Systems (SDEWES). https://www.dwr-uisce.eu/conference-proceedings-an</t>
  </si>
  <si>
    <t>https://www.wolseley.co.uk/product/geberit-mapress-39005-water-pipe-28mm-stainless-steel-%28per-metre%29/</t>
  </si>
  <si>
    <t>https://www.colglo.co.uk/product.php?product=XP25053</t>
  </si>
  <si>
    <t>https://www.wolseley.co.uk/product/the-lawton-tube-en-1057-x-copper-tube-28mm-x-3mtr/</t>
  </si>
  <si>
    <t>https://www.screwfix.com/p/jg-speedfit-28bpex-push-fit-pe-x-barrier-pipe-28mm-x-3m/47372</t>
  </si>
  <si>
    <t>current exchange rate March 2021</t>
  </si>
  <si>
    <t>Current UK green renewable electricity mix (wind, hyrdo, solar, wood)</t>
  </si>
  <si>
    <r>
      <t>Carbon costs [kg CO</t>
    </r>
    <r>
      <rPr>
        <b/>
        <sz val="8"/>
        <color theme="1"/>
        <rFont val="Calibri"/>
        <family val="2"/>
        <scheme val="minor"/>
      </rPr>
      <t>2</t>
    </r>
    <r>
      <rPr>
        <b/>
        <sz val="11"/>
        <color theme="1"/>
        <rFont val="Calibri"/>
        <family val="2"/>
        <scheme val="minor"/>
      </rPr>
      <t xml:space="preserve"> eq]</t>
    </r>
  </si>
  <si>
    <t>?</t>
  </si>
  <si>
    <t>Approximate distance [m]</t>
  </si>
  <si>
    <t>between kitchen drain pipe and boiler</t>
  </si>
  <si>
    <t>1a)</t>
  </si>
  <si>
    <t>1b)</t>
  </si>
  <si>
    <t>2)</t>
  </si>
  <si>
    <t>3a)</t>
  </si>
  <si>
    <t>3b)</t>
  </si>
  <si>
    <t>4)</t>
  </si>
  <si>
    <t>5)</t>
  </si>
  <si>
    <t>6)</t>
  </si>
  <si>
    <t>7)</t>
  </si>
  <si>
    <t>baseline:</t>
  </si>
  <si>
    <t>not specified</t>
  </si>
  <si>
    <t>Number of meals [per year]</t>
  </si>
  <si>
    <t xml:space="preserve">Type of location  </t>
  </si>
  <si>
    <t>Number of weeks open [per year]</t>
  </si>
  <si>
    <t xml:space="preserve">Energy source for water heating  </t>
  </si>
  <si>
    <t>Country</t>
  </si>
  <si>
    <t>Energy price for water heating</t>
  </si>
  <si>
    <r>
      <t xml:space="preserve">Fill in a) </t>
    </r>
    <r>
      <rPr>
        <i/>
        <u/>
        <sz val="12"/>
        <color theme="1" tint="0.249977111117893"/>
        <rFont val="Calibri"/>
        <family val="2"/>
        <scheme val="minor"/>
      </rPr>
      <t>or</t>
    </r>
    <r>
      <rPr>
        <i/>
        <sz val="12"/>
        <color theme="1" tint="0.249977111117893"/>
        <rFont val="Calibri"/>
        <family val="2"/>
        <scheme val="minor"/>
      </rPr>
      <t xml:space="preserve"> b) depending on your data availability:</t>
    </r>
  </si>
  <si>
    <t>If closed on a day, leave "0".</t>
  </si>
  <si>
    <t>It provides you with estimates on operational savings, investment costs and simple payback time.</t>
  </si>
  <si>
    <t xml:space="preserve">It is simple! In the heat exchanger, the warm wastewater from your kitchen transfers the heat to the cold water coming from the water supply.
The heat exchanger is a double walled copper pipe, as copper is a very heat conductive material. The inner pipe leads the wastewater, the outer pipe the cold water. I.e. both waters are not in direct contact.
Once the incoming water is warmed up, it flows to the boiler, where it is heated to its final temperature.
Here is, where the energy is saved: your boiler consumes less energy, as it is fed with pre-warmed water.
</t>
  </si>
  <si>
    <t xml:space="preserve"> What is the service life of the heat exchanger?</t>
  </si>
  <si>
    <t>We assume a baseline value of 10 years, which is a conservative estimate. You will be able to customise the service life to the time span you are interested in. Manufacturers typically assume a life time of over 20 years.</t>
  </si>
  <si>
    <t>Carbon emissions generated from manufacture and disposal of the heat recovery equipment.</t>
  </si>
  <si>
    <t>payback time (in years): sensitivity (selection only)</t>
  </si>
  <si>
    <t>AC</t>
  </si>
  <si>
    <t>FE</t>
  </si>
  <si>
    <t>FTox</t>
  </si>
  <si>
    <t>RD</t>
  </si>
  <si>
    <t>Financially:</t>
  </si>
  <si>
    <t>Carbon emissions:</t>
  </si>
  <si>
    <t>Finance</t>
  </si>
  <si>
    <t>Carbon</t>
  </si>
  <si>
    <t>Other environment</t>
  </si>
  <si>
    <t>Not a no-cost, but at least a low-cost measure to save emissions.</t>
  </si>
  <si>
    <t>(We do not take responsibility for the content of external links)</t>
  </si>
  <si>
    <t>Nice, it looks like your business could save money.</t>
  </si>
  <si>
    <t>That looks awesome. The climate would thank you for recovering heat.</t>
  </si>
  <si>
    <t>Great, not only the climate is likely to benefit!</t>
  </si>
  <si>
    <r>
      <t xml:space="preserve">Conclusion </t>
    </r>
    <r>
      <rPr>
        <i/>
        <u/>
        <sz val="11"/>
        <color theme="1"/>
        <rFont val="Calibri"/>
        <family val="2"/>
        <scheme val="minor"/>
      </rPr>
      <t>(based on customised values)</t>
    </r>
  </si>
  <si>
    <t>line 1</t>
  </si>
  <si>
    <t>line 2</t>
  </si>
  <si>
    <t xml:space="preserve">Under these circumstances, recovering heat might not a be a wise decision. </t>
  </si>
  <si>
    <t>You could try a longer service life or less/other type of pipework.</t>
  </si>
  <si>
    <t>Could you run the system longer, reduce your pipework or change its material?</t>
  </si>
  <si>
    <t>empty line</t>
  </si>
  <si>
    <t>Congrats.</t>
  </si>
  <si>
    <t xml:space="preserve">Hmmm, overal sustainability might not be given as not all impacts are paid back within your chosen service life. </t>
  </si>
  <si>
    <t>[6] http://clipart-library.com/clip-art/leaf-with-transparent-background-8.htm</t>
  </si>
  <si>
    <t>Other environmental impacts:</t>
  </si>
  <si>
    <t>Click through the tabs below until you reach the results.</t>
  </si>
  <si>
    <t>Do you have a commercial kitchen?</t>
  </si>
  <si>
    <t>Do you run a restaurant, pub, canteen or café or other commercial kitchen?</t>
  </si>
  <si>
    <r>
      <t>Are you interested in a low/no cost CO</t>
    </r>
    <r>
      <rPr>
        <sz val="8"/>
        <color theme="1"/>
        <rFont val="Calibri"/>
        <family val="2"/>
        <scheme val="minor"/>
      </rPr>
      <t>2</t>
    </r>
    <r>
      <rPr>
        <sz val="11"/>
        <color theme="1"/>
        <rFont val="Calibri"/>
        <family val="2"/>
        <scheme val="minor"/>
      </rPr>
      <t xml:space="preserve"> mitigation measure?</t>
    </r>
  </si>
  <si>
    <t>Carbon Trust, 2013. Catering cut costs and carbon calculator</t>
  </si>
  <si>
    <t>We want to show you how to harvest the free heat from your wastewater, which you would otherwise lose through the drain!</t>
  </si>
  <si>
    <t>This could be your opportunity to save on energy costs and reduce carbon emissions.</t>
  </si>
  <si>
    <t>This toolkit is a part of the Interreg Ireland-Wales project Dwr-Uisce and has been developed by researchers from Bangor University, Wales, UK and Trinity College, Dublin, Ireland. Feel free to click on the link below to learn more about our project or to contact us should you have comments, questions or ideas. We are looking forward to any feedback!</t>
  </si>
  <si>
    <r>
      <rPr>
        <b/>
        <sz val="11"/>
        <color theme="1"/>
        <rFont val="Calibri"/>
        <family val="2"/>
        <scheme val="minor"/>
      </rPr>
      <t>Disclaimer</t>
    </r>
    <r>
      <rPr>
        <sz val="11"/>
        <color theme="1"/>
        <rFont val="Calibri"/>
        <family val="2"/>
        <scheme val="minor"/>
      </rPr>
      <t>: Although we have put all our effort into making this toolkit reliable and deliver meaningful insight, results can only be understood as an estimate, as every commercial kitchen and heat recovery case is different. We can therefore not guarantee that your heat recovery installation will generate the results presented here and make no claims of this tool's accuracy. Please do let us know if you are interested in recovering heat and require further advice.</t>
    </r>
  </si>
  <si>
    <t>This tool shows you how you can recover heat from the wastewater from your kitchen.</t>
  </si>
  <si>
    <t>It will show you the potential financial savings from this heat recovery and also, if and how many emissions you could reduce to make your business greener.</t>
  </si>
  <si>
    <t>What you need: some information about your water use or the amount of meals served, plus your current energy source for heating.</t>
  </si>
  <si>
    <t xml:space="preserve">It is similar with environmental benefits: On the one hand, there are emissions generated during manufacture and disposal of the equipment needed. These can be regarded as environmental costs, e.g. carbon costs. On the other hand, emissions are saved through avoidance of energy supply for heating water. These are the operational environmental savings, e.g. carbon emission savings.
Emissions from the equipment's life cycle occur during the extraction of raw materials to make them, like copper or crude oil as the energy source; the transport of the materials, the manufacture of the heat exchanger and fittings themselves or their packaging, and their end of life, such as recycling or landfilling.
Avoided emissions from your water heating energy source include e.g. direct emissions from the combustion of fossil fuels such as natural gas, but also indirect emissions from the manufacture of wood chips, solar thermal appliances or ground source heat pumps; or the manufacture of wind turbines and hydro power plants delivering green electricity.
This toolkit calculates operational carbon savings, the carbon costs of the equipment and the payback time, which considers savings and costs. But you will also find out about other environmental impacts and how the material choice for pipework can influence the results.
</t>
  </si>
  <si>
    <t>In the end, you should be able to better understand if your kitchen could be suitable for drain water heat recovery.</t>
  </si>
  <si>
    <t>You will need a vertical drop in your kitchen drain pipe of about 2 meters:</t>
  </si>
  <si>
    <t>Horizontal heat exchangers are less ideal due to a lower efficiency and potential build-up of scale and possible blockage.</t>
  </si>
  <si>
    <r>
      <t>Carbon emissions saved per year through replacement of your current energy source. In CO</t>
    </r>
    <r>
      <rPr>
        <sz val="8"/>
        <color theme="1"/>
        <rFont val="Calibri"/>
        <family val="2"/>
        <scheme val="minor"/>
      </rPr>
      <t>2</t>
    </r>
    <r>
      <rPr>
        <sz val="11"/>
        <color theme="1"/>
        <rFont val="Calibri"/>
        <family val="2"/>
        <scheme val="minor"/>
      </rPr>
      <t xml:space="preserve"> equivalents.</t>
    </r>
  </si>
  <si>
    <t>These are the costs you save per year as the heat recovered replaces your usual energy source.</t>
  </si>
  <si>
    <t>insulation (per m)</t>
  </si>
  <si>
    <t>insulation</t>
  </si>
  <si>
    <t>To connect it to the boiler, you will need some fittings and pipework, which is considered in our model, too, including pipe insulation. We assume the pipework to be made from polyethylene for the baseline results. However you will be able to modify this to copper or steel.</t>
  </si>
  <si>
    <t xml:space="preserve">On the one hand you invest in the equipment, on the other hand you save operational energy costs!
The toolkit takes into account the capital costs of heat exchanger, fittings, pipework and pipe insulation.
</t>
  </si>
  <si>
    <t>The investment costs include initial spends for heat exchanger, pipework with insulation and fittings.</t>
  </si>
  <si>
    <t>How does the toolkit calculate heat recovery?</t>
  </si>
  <si>
    <t>Weekly opening time  [number of hours]</t>
  </si>
  <si>
    <t>[number of hours]</t>
  </si>
  <si>
    <t>By the way: We assume 10 years as service life and pipework made from plastic (polyethylene = PE). But you will be able to customise these values on the next sheet.</t>
  </si>
  <si>
    <t xml:space="preserve">The toolkit links your water consumption (which can also be derived approximately from the number of meals) with the heat recovery potential per litre of water. The latter is based on averaged real world data from several kitchens, where water consumption, drain water temperature and flows have been monitored. </t>
  </si>
  <si>
    <t xml:space="preserve"> Water consumption [m3/year]</t>
  </si>
  <si>
    <t xml:space="preserve"> (kitchen only)</t>
  </si>
  <si>
    <t xml:space="preserve"> Click to see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</si>
</sst>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0.00000"/>
    <numFmt numFmtId="165" formatCode="_-* #,##0_-;\-* #,##0_-;_-* &quot;-&quot;??_-;_-@_-"/>
    <numFmt numFmtId="166" formatCode="0.0"/>
    <numFmt numFmtId="167" formatCode="0.000"/>
    <numFmt numFmtId="168" formatCode="0.0000"/>
    <numFmt numFmtId="169" formatCode="_-* #,##0.0_-;\-* #,##0.0_-;_-* &quot;-&quot;??_-;_-@_-"/>
    <numFmt numFmtId="170" formatCode="_-* #,##0.000_-;\-* #,##0.000_-;_-* &quot;-&quot;??_-;_-@_-"/>
  </numFmts>
  <fonts count="64" x14ac:knownFonts="1">
    <font>
      <sz val="11"/>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i/>
      <sz val="11"/>
      <color theme="1"/>
      <name val="Calibri"/>
      <family val="2"/>
      <scheme val="minor"/>
    </font>
    <font>
      <b/>
      <sz val="16"/>
      <color theme="1" tint="0.249977111117893"/>
      <name val="Calibri"/>
      <family val="2"/>
      <scheme val="minor"/>
    </font>
    <font>
      <sz val="11"/>
      <color theme="1" tint="0.249977111117893"/>
      <name val="Calibri"/>
      <family val="2"/>
      <scheme val="minor"/>
    </font>
    <font>
      <i/>
      <sz val="11"/>
      <color theme="1" tint="0.249977111117893"/>
      <name val="Calibri"/>
      <family val="2"/>
      <scheme val="minor"/>
    </font>
    <font>
      <sz val="11"/>
      <color theme="1"/>
      <name val="Calibri"/>
      <family val="2"/>
      <scheme val="minor"/>
    </font>
    <font>
      <i/>
      <sz val="11"/>
      <name val="Calibri"/>
      <family val="2"/>
      <scheme val="minor"/>
    </font>
    <font>
      <sz val="11"/>
      <color theme="0" tint="-0.499984740745262"/>
      <name val="Calibri"/>
      <family val="2"/>
      <scheme val="minor"/>
    </font>
    <font>
      <sz val="11"/>
      <name val="Calibri"/>
      <family val="2"/>
      <scheme val="minor"/>
    </font>
    <font>
      <sz val="14"/>
      <color theme="1"/>
      <name val="Calibri"/>
      <family val="2"/>
      <scheme val="minor"/>
    </font>
    <font>
      <b/>
      <i/>
      <sz val="14"/>
      <color theme="1"/>
      <name val="Calibri"/>
      <family val="2"/>
      <scheme val="minor"/>
    </font>
    <font>
      <b/>
      <sz val="18"/>
      <color theme="1"/>
      <name val="Calibri"/>
      <family val="2"/>
      <scheme val="minor"/>
    </font>
    <font>
      <b/>
      <sz val="12"/>
      <color theme="1"/>
      <name val="Calibri"/>
      <family val="2"/>
      <scheme val="minor"/>
    </font>
    <font>
      <b/>
      <sz val="11"/>
      <color rgb="FF000000"/>
      <name val="Calibri"/>
      <family val="2"/>
    </font>
    <font>
      <sz val="11"/>
      <color theme="1"/>
      <name val="Calibri"/>
      <family val="2"/>
    </font>
    <font>
      <sz val="11"/>
      <color rgb="FF000000"/>
      <name val="Calibri"/>
      <family val="2"/>
    </font>
    <font>
      <b/>
      <sz val="11"/>
      <name val="Calibri"/>
      <family val="2"/>
      <scheme val="minor"/>
    </font>
    <font>
      <b/>
      <sz val="20"/>
      <color theme="1"/>
      <name val="Calibri"/>
      <family val="2"/>
      <scheme val="minor"/>
    </font>
    <font>
      <b/>
      <sz val="14"/>
      <name val="Calibri"/>
      <family val="2"/>
      <scheme val="minor"/>
    </font>
    <font>
      <b/>
      <sz val="14"/>
      <color theme="3"/>
      <name val="Calibri"/>
      <family val="2"/>
      <scheme val="minor"/>
    </font>
    <font>
      <u/>
      <sz val="11"/>
      <color theme="10"/>
      <name val="Calibri"/>
      <family val="2"/>
      <scheme val="minor"/>
    </font>
    <font>
      <sz val="14"/>
      <color theme="10"/>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0"/>
      <name val="Arial"/>
      <family val="2"/>
    </font>
    <font>
      <sz val="8"/>
      <color rgb="FFFA7D00"/>
      <name val="Calibri"/>
      <family val="2"/>
      <scheme val="minor"/>
    </font>
    <font>
      <u/>
      <sz val="9.9"/>
      <color theme="10"/>
      <name val="Calibri"/>
      <family val="2"/>
    </font>
    <font>
      <b/>
      <sz val="10"/>
      <color theme="0"/>
      <name val="Century Gothic"/>
      <family val="2"/>
    </font>
    <font>
      <b/>
      <sz val="10"/>
      <color theme="2" tint="-0.499984740745262"/>
      <name val="Century Gothic"/>
      <family val="2"/>
    </font>
    <font>
      <b/>
      <sz val="10"/>
      <color theme="0"/>
      <name val="Calibri"/>
      <family val="2"/>
      <scheme val="minor"/>
    </font>
    <font>
      <u/>
      <sz val="11"/>
      <color theme="10"/>
      <name val="Calibri"/>
      <family val="2"/>
    </font>
    <font>
      <b/>
      <sz val="18"/>
      <color rgb="FFFF0000"/>
      <name val="Calibri"/>
      <family val="2"/>
      <scheme val="minor"/>
    </font>
    <font>
      <sz val="11"/>
      <color theme="0"/>
      <name val="Calibri"/>
      <family val="2"/>
      <scheme val="minor"/>
    </font>
    <font>
      <sz val="11"/>
      <color rgb="FF000000"/>
      <name val="Calibri"/>
      <family val="2"/>
      <scheme val="minor"/>
    </font>
    <font>
      <sz val="9"/>
      <color indexed="81"/>
      <name val="Tahoma"/>
      <family val="2"/>
    </font>
    <font>
      <b/>
      <sz val="9"/>
      <color indexed="81"/>
      <name val="Tahoma"/>
      <family val="2"/>
    </font>
    <font>
      <b/>
      <sz val="11"/>
      <color theme="1" tint="0.249977111117893"/>
      <name val="Calibri"/>
      <family val="2"/>
      <scheme val="minor"/>
    </font>
    <font>
      <sz val="12"/>
      <color rgb="FF000000"/>
      <name val="Calibri"/>
      <family val="2"/>
      <scheme val="minor"/>
    </font>
    <font>
      <b/>
      <sz val="18"/>
      <color theme="0"/>
      <name val="Calibri"/>
      <family val="2"/>
      <scheme val="minor"/>
    </font>
    <font>
      <b/>
      <sz val="14"/>
      <color theme="1" tint="0.249977111117893"/>
      <name val="Calibri"/>
      <family val="2"/>
      <scheme val="minor"/>
    </font>
    <font>
      <b/>
      <sz val="11"/>
      <color theme="3"/>
      <name val="Calibri"/>
      <family val="2"/>
      <scheme val="minor"/>
    </font>
    <font>
      <b/>
      <sz val="8"/>
      <color theme="1"/>
      <name val="Calibri"/>
      <family val="2"/>
      <scheme val="minor"/>
    </font>
    <font>
      <b/>
      <u/>
      <sz val="14"/>
      <color theme="1"/>
      <name val="Calibri"/>
      <family val="2"/>
      <scheme val="minor"/>
    </font>
    <font>
      <i/>
      <u/>
      <sz val="11"/>
      <color theme="1"/>
      <name val="Calibri"/>
      <family val="2"/>
      <scheme val="minor"/>
    </font>
    <font>
      <sz val="11"/>
      <color theme="2" tint="-0.499984740745262"/>
      <name val="Calibri"/>
      <family val="2"/>
      <scheme val="minor"/>
    </font>
    <font>
      <b/>
      <sz val="11"/>
      <color theme="2" tint="-0.499984740745262"/>
      <name val="Calibri"/>
      <family val="2"/>
      <scheme val="minor"/>
    </font>
    <font>
      <b/>
      <sz val="11"/>
      <color theme="0" tint="-0.499984740745262"/>
      <name val="Calibri"/>
      <family val="2"/>
      <scheme val="minor"/>
    </font>
    <font>
      <i/>
      <sz val="14"/>
      <color theme="1"/>
      <name val="Calibri"/>
      <family val="2"/>
      <scheme val="minor"/>
    </font>
    <font>
      <sz val="8"/>
      <color theme="1"/>
      <name val="Calibri"/>
      <family val="2"/>
      <scheme val="minor"/>
    </font>
    <font>
      <b/>
      <sz val="14"/>
      <color rgb="FF000000"/>
      <name val="Calibri"/>
      <family val="2"/>
      <scheme val="minor"/>
    </font>
    <font>
      <sz val="10"/>
      <color rgb="FF000000"/>
      <name val="Gill Sans MT"/>
      <family val="2"/>
    </font>
    <font>
      <b/>
      <sz val="12"/>
      <color theme="1"/>
      <name val="Franklin Gothic Heavy"/>
      <family val="2"/>
    </font>
    <font>
      <i/>
      <sz val="11"/>
      <color theme="0" tint="-0.499984740745262"/>
      <name val="Calibri"/>
      <family val="2"/>
      <scheme val="minor"/>
    </font>
    <font>
      <i/>
      <sz val="12"/>
      <color theme="1" tint="0.249977111117893"/>
      <name val="Calibri"/>
      <family val="2"/>
      <scheme val="minor"/>
    </font>
    <font>
      <i/>
      <u/>
      <sz val="12"/>
      <color theme="1" tint="0.249977111117893"/>
      <name val="Calibri"/>
      <family val="2"/>
      <scheme val="minor"/>
    </font>
    <font>
      <i/>
      <sz val="11"/>
      <color theme="2" tint="-0.499984740745262"/>
      <name val="Calibri"/>
      <family val="2"/>
      <scheme val="minor"/>
    </font>
    <font>
      <sz val="11"/>
      <color theme="0" tint="-0.34998626667073579"/>
      <name val="Calibri"/>
      <family val="2"/>
      <scheme val="minor"/>
    </font>
    <font>
      <i/>
      <sz val="11"/>
      <color theme="0" tint="-0.34998626667073579"/>
      <name val="Calibri"/>
      <family val="2"/>
      <scheme val="minor"/>
    </font>
  </fonts>
  <fills count="23">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2F2F2"/>
      </patternFill>
    </fill>
    <fill>
      <patternFill patternType="solid">
        <fgColor theme="4"/>
      </patternFill>
    </fill>
    <fill>
      <patternFill patternType="solid">
        <fgColor theme="4" tint="0.39997558519241921"/>
        <bgColor indexed="65"/>
      </patternFill>
    </fill>
    <fill>
      <patternFill patternType="solid">
        <fgColor theme="6" tint="0.39997558519241921"/>
        <bgColor indexed="65"/>
      </patternFill>
    </fill>
    <fill>
      <patternFill patternType="solid">
        <fgColor rgb="FFFFFF00"/>
        <bgColor indexed="64"/>
      </patternFill>
    </fill>
    <fill>
      <patternFill patternType="solid">
        <fgColor theme="5"/>
        <bgColor indexed="64"/>
      </patternFill>
    </fill>
    <fill>
      <patternFill patternType="solid">
        <fgColor theme="2" tint="-0.499984740745262"/>
        <bgColor indexed="64"/>
      </patternFill>
    </fill>
    <fill>
      <patternFill patternType="solid">
        <fgColor theme="2" tint="-0.74996185186315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64"/>
      </left>
      <right/>
      <top/>
      <bottom/>
      <diagonal/>
    </border>
    <border>
      <left/>
      <right style="thin">
        <color indexed="64"/>
      </right>
      <top/>
      <bottom/>
      <diagonal/>
    </border>
    <border>
      <left/>
      <right/>
      <top style="thin">
        <color theme="0"/>
      </top>
      <bottom style="thin">
        <color theme="0"/>
      </bottom>
      <diagonal/>
    </border>
    <border>
      <left style="medium">
        <color theme="1" tint="0.34998626667073579"/>
      </left>
      <right style="medium">
        <color theme="2"/>
      </right>
      <top style="medium">
        <color theme="1" tint="0.34998626667073579"/>
      </top>
      <bottom style="medium">
        <color theme="2"/>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xf numFmtId="43" fontId="10" fillId="0" borderId="0" applyFont="0" applyFill="0" applyBorder="0" applyAlignment="0" applyProtection="0"/>
    <xf numFmtId="0" fontId="25" fillId="0" borderId="0" applyNumberFormat="0" applyFill="0" applyBorder="0" applyAlignment="0" applyProtection="0"/>
    <xf numFmtId="0" fontId="5" fillId="0" borderId="0"/>
    <xf numFmtId="43" fontId="10" fillId="0" borderId="0" applyFont="0" applyFill="0" applyBorder="0" applyAlignment="0" applyProtection="0"/>
    <xf numFmtId="0" fontId="33" fillId="13" borderId="19" applyNumberFormat="0">
      <alignment horizontal="center" vertical="center"/>
      <protection locked="0"/>
    </xf>
    <xf numFmtId="0" fontId="31" fillId="11" borderId="15" applyNumberFormat="0" applyAlignment="0" applyProtection="0"/>
    <xf numFmtId="0" fontId="29" fillId="0" borderId="0" applyNumberFormat="0" applyFill="0" applyBorder="0" applyProtection="0">
      <alignment vertical="center"/>
    </xf>
    <xf numFmtId="0" fontId="32" fillId="0" borderId="0" applyNumberFormat="0" applyFill="0" applyBorder="0" applyAlignment="0" applyProtection="0">
      <alignment vertical="top"/>
      <protection locked="0"/>
    </xf>
    <xf numFmtId="0" fontId="27" fillId="7" borderId="14" applyNumberFormat="0" applyAlignment="0"/>
    <xf numFmtId="43" fontId="10" fillId="0" borderId="0" applyFont="0" applyFill="0" applyBorder="0" applyAlignment="0" applyProtection="0"/>
    <xf numFmtId="0" fontId="34" fillId="14" borderId="19">
      <alignment horizontal="center" vertical="center"/>
      <protection locked="0"/>
    </xf>
    <xf numFmtId="44" fontId="10" fillId="0" borderId="0" applyFont="0" applyFill="0" applyBorder="0" applyAlignment="0" applyProtection="0"/>
    <xf numFmtId="0" fontId="30" fillId="0" borderId="0"/>
    <xf numFmtId="166" fontId="28" fillId="8" borderId="20" applyAlignment="0" applyProtection="0"/>
    <xf numFmtId="0" fontId="35" fillId="10" borderId="21" applyProtection="0">
      <alignment horizontal="center" vertical="center" wrapText="1"/>
    </xf>
    <xf numFmtId="0" fontId="36" fillId="0" borderId="0" applyNumberFormat="0" applyFill="0" applyBorder="0" applyAlignment="0" applyProtection="0">
      <alignment vertical="top"/>
      <protection locked="0"/>
    </xf>
    <xf numFmtId="0" fontId="30" fillId="0" borderId="0"/>
    <xf numFmtId="0" fontId="28" fillId="9" borderId="18" applyNumberFormat="0" applyAlignment="0" applyProtection="0"/>
    <xf numFmtId="0" fontId="29"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441">
    <xf numFmtId="0" fontId="0" fillId="0" borderId="0" xfId="0"/>
    <xf numFmtId="0" fontId="3" fillId="0" borderId="0" xfId="0" applyFont="1"/>
    <xf numFmtId="0" fontId="0" fillId="0" borderId="0" xfId="0" applyFont="1"/>
    <xf numFmtId="0" fontId="2" fillId="0" borderId="0" xfId="0" applyFont="1"/>
    <xf numFmtId="0" fontId="3" fillId="0" borderId="0" xfId="0" applyFont="1" applyFill="1" applyBorder="1" applyAlignment="1">
      <alignment horizontal="center"/>
    </xf>
    <xf numFmtId="0" fontId="0" fillId="0" borderId="9" xfId="0" applyBorder="1"/>
    <xf numFmtId="0" fontId="0" fillId="0" borderId="10" xfId="0" applyBorder="1"/>
    <xf numFmtId="0" fontId="0" fillId="0" borderId="0" xfId="0" applyBorder="1"/>
    <xf numFmtId="0" fontId="0" fillId="0" borderId="11" xfId="0" applyBorder="1"/>
    <xf numFmtId="0" fontId="0" fillId="0" borderId="5" xfId="0" applyBorder="1"/>
    <xf numFmtId="0" fontId="0" fillId="0" borderId="13" xfId="0" applyBorder="1"/>
    <xf numFmtId="0" fontId="0" fillId="0" borderId="0" xfId="0" applyBorder="1" applyAlignment="1">
      <alignment horizontal="right"/>
    </xf>
    <xf numFmtId="0" fontId="0" fillId="0" borderId="10" xfId="0" applyBorder="1" applyAlignment="1">
      <alignment horizontal="right"/>
    </xf>
    <xf numFmtId="1" fontId="0" fillId="4" borderId="1" xfId="0" applyNumberFormat="1" applyFill="1" applyBorder="1"/>
    <xf numFmtId="0" fontId="0" fillId="4" borderId="1" xfId="0" applyFill="1" applyBorder="1"/>
    <xf numFmtId="11" fontId="0" fillId="0" borderId="0" xfId="0" applyNumberFormat="1"/>
    <xf numFmtId="2" fontId="0" fillId="4" borderId="1" xfId="0" applyNumberFormat="1" applyFill="1" applyBorder="1"/>
    <xf numFmtId="166" fontId="0" fillId="4" borderId="1" xfId="0" applyNumberFormat="1" applyFill="1" applyBorder="1"/>
    <xf numFmtId="0" fontId="0" fillId="6" borderId="0" xfId="0" applyFill="1"/>
    <xf numFmtId="0" fontId="17" fillId="6" borderId="0" xfId="0" applyFont="1" applyFill="1"/>
    <xf numFmtId="0" fontId="0" fillId="0" borderId="0" xfId="0" applyAlignment="1">
      <alignment horizontal="center" vertical="center"/>
    </xf>
    <xf numFmtId="0" fontId="1" fillId="6" borderId="0" xfId="0" applyFont="1" applyFill="1"/>
    <xf numFmtId="0" fontId="3" fillId="6" borderId="0" xfId="0" applyFont="1" applyFill="1"/>
    <xf numFmtId="0" fontId="6" fillId="6" borderId="0" xfId="0" applyFont="1" applyFill="1"/>
    <xf numFmtId="0" fontId="0" fillId="6" borderId="0" xfId="0" applyFont="1" applyFill="1"/>
    <xf numFmtId="0" fontId="2" fillId="6" borderId="0" xfId="0" applyFont="1" applyFill="1"/>
    <xf numFmtId="0" fontId="16" fillId="6" borderId="0" xfId="0" applyFont="1" applyFill="1"/>
    <xf numFmtId="0" fontId="14" fillId="6" borderId="0" xfId="0" applyFont="1" applyFill="1"/>
    <xf numFmtId="0" fontId="0" fillId="6" borderId="0" xfId="0" applyFill="1" applyBorder="1"/>
    <xf numFmtId="0" fontId="5" fillId="6" borderId="0" xfId="0" applyFont="1" applyFill="1"/>
    <xf numFmtId="0" fontId="13" fillId="6" borderId="0" xfId="0" applyFont="1" applyFill="1"/>
    <xf numFmtId="0" fontId="24" fillId="6" borderId="0" xfId="0" applyFont="1" applyFill="1"/>
    <xf numFmtId="0" fontId="26" fillId="6" borderId="0" xfId="2" applyFont="1" applyFill="1"/>
    <xf numFmtId="0" fontId="0" fillId="0" borderId="0" xfId="0"/>
    <xf numFmtId="0" fontId="0" fillId="0" borderId="0" xfId="0" applyFill="1"/>
    <xf numFmtId="0" fontId="3" fillId="0" borderId="0" xfId="0" applyFont="1"/>
    <xf numFmtId="0" fontId="2" fillId="0" borderId="0" xfId="0" applyFont="1"/>
    <xf numFmtId="0" fontId="0" fillId="0" borderId="0" xfId="0" applyBorder="1"/>
    <xf numFmtId="0" fontId="0" fillId="0" borderId="0" xfId="0" applyFill="1" applyBorder="1"/>
    <xf numFmtId="2" fontId="0" fillId="0" borderId="0" xfId="0" applyNumberFormat="1"/>
    <xf numFmtId="167" fontId="0" fillId="0" borderId="0" xfId="0" applyNumberFormat="1"/>
    <xf numFmtId="0" fontId="0" fillId="0" borderId="12" xfId="0" applyBorder="1"/>
    <xf numFmtId="1" fontId="0" fillId="0" borderId="0" xfId="0" applyNumberFormat="1" applyBorder="1"/>
    <xf numFmtId="0" fontId="0" fillId="0" borderId="0" xfId="0" applyFont="1"/>
    <xf numFmtId="0" fontId="13" fillId="0" borderId="0" xfId="0" applyFont="1" applyFill="1" applyBorder="1"/>
    <xf numFmtId="0" fontId="12" fillId="0" borderId="0" xfId="0" applyFont="1"/>
    <xf numFmtId="11" fontId="0" fillId="0" borderId="0" xfId="0" applyNumberFormat="1"/>
    <xf numFmtId="0" fontId="5" fillId="6" borderId="0" xfId="0" applyFont="1" applyFill="1"/>
    <xf numFmtId="0" fontId="3" fillId="0" borderId="0" xfId="0" applyFont="1" applyBorder="1"/>
    <xf numFmtId="0" fontId="0" fillId="0" borderId="16" xfId="0" applyBorder="1"/>
    <xf numFmtId="0" fontId="0" fillId="4" borderId="0" xfId="0" applyFill="1"/>
    <xf numFmtId="0" fontId="0" fillId="6" borderId="17" xfId="0" applyFill="1" applyBorder="1"/>
    <xf numFmtId="0" fontId="0" fillId="6" borderId="17" xfId="0" applyFont="1" applyFill="1" applyBorder="1"/>
    <xf numFmtId="0" fontId="0" fillId="6" borderId="16" xfId="0" applyFill="1" applyBorder="1"/>
    <xf numFmtId="0" fontId="0" fillId="0" borderId="16" xfId="0" applyFont="1" applyBorder="1"/>
    <xf numFmtId="0" fontId="0" fillId="6" borderId="0" xfId="0" applyFill="1" applyAlignment="1">
      <alignment wrapText="1"/>
    </xf>
    <xf numFmtId="0" fontId="0" fillId="6" borderId="0" xfId="0" applyFill="1" applyAlignment="1">
      <alignment vertical="top" wrapText="1"/>
    </xf>
    <xf numFmtId="0" fontId="39" fillId="6" borderId="0" xfId="0" applyFont="1" applyFill="1" applyAlignment="1">
      <alignment vertical="top" wrapText="1"/>
    </xf>
    <xf numFmtId="0" fontId="39" fillId="6" borderId="0" xfId="0" applyFont="1" applyFill="1" applyAlignment="1">
      <alignment horizontal="left" vertical="top" wrapText="1"/>
    </xf>
    <xf numFmtId="0" fontId="25" fillId="0" borderId="0" xfId="2"/>
    <xf numFmtId="0" fontId="0" fillId="15" borderId="0" xfId="0" applyFill="1"/>
    <xf numFmtId="0" fontId="2" fillId="15" borderId="0" xfId="0" applyFont="1" applyFill="1"/>
    <xf numFmtId="167" fontId="0" fillId="0" borderId="0" xfId="0" applyNumberFormat="1" applyFill="1"/>
    <xf numFmtId="11" fontId="0" fillId="0" borderId="0" xfId="0" applyNumberFormat="1" applyFill="1"/>
    <xf numFmtId="0" fontId="3" fillId="0" borderId="23" xfId="0" applyFont="1" applyFill="1" applyBorder="1" applyAlignment="1">
      <alignment horizontal="right"/>
    </xf>
    <xf numFmtId="0" fontId="0" fillId="0" borderId="24" xfId="0" applyFont="1" applyFill="1" applyBorder="1"/>
    <xf numFmtId="1" fontId="0" fillId="0" borderId="25" xfId="0" applyNumberFormat="1" applyFill="1" applyBorder="1"/>
    <xf numFmtId="0" fontId="0" fillId="0" borderId="0" xfId="0" applyBorder="1" applyAlignment="1">
      <alignment horizontal="center" vertical="center"/>
    </xf>
    <xf numFmtId="11" fontId="0" fillId="0" borderId="0" xfId="0" applyNumberFormat="1" applyBorder="1"/>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168" fontId="0" fillId="0" borderId="11" xfId="0" applyNumberFormat="1" applyBorder="1"/>
    <xf numFmtId="168" fontId="0" fillId="0" borderId="13" xfId="0" applyNumberFormat="1" applyBorder="1"/>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0" fillId="0" borderId="10" xfId="0" applyBorder="1" applyAlignment="1">
      <alignment horizontal="center" vertical="center"/>
    </xf>
    <xf numFmtId="0" fontId="1" fillId="15" borderId="0" xfId="0" applyFont="1" applyFill="1"/>
    <xf numFmtId="0" fontId="3" fillId="0" borderId="4" xfId="0" applyFont="1" applyFill="1" applyBorder="1" applyAlignment="1">
      <alignment horizontal="center" vertical="center"/>
    </xf>
    <xf numFmtId="0" fontId="3" fillId="0" borderId="23" xfId="0" applyFont="1" applyBorder="1"/>
    <xf numFmtId="0" fontId="0" fillId="0" borderId="24" xfId="0" applyBorder="1"/>
    <xf numFmtId="0" fontId="0" fillId="0" borderId="25" xfId="0" applyBorder="1"/>
    <xf numFmtId="0" fontId="3" fillId="0" borderId="25" xfId="0" applyFont="1" applyBorder="1"/>
    <xf numFmtId="0" fontId="0" fillId="0" borderId="23" xfId="0" applyBorder="1"/>
    <xf numFmtId="0" fontId="21" fillId="4" borderId="22" xfId="0" applyFont="1" applyFill="1" applyBorder="1"/>
    <xf numFmtId="0" fontId="3" fillId="0" borderId="24" xfId="0" applyFont="1" applyBorder="1"/>
    <xf numFmtId="0" fontId="18" fillId="0" borderId="24" xfId="0" applyFont="1" applyFill="1" applyBorder="1"/>
    <xf numFmtId="2" fontId="19" fillId="0" borderId="2" xfId="0" applyNumberFormat="1" applyFont="1" applyFill="1" applyBorder="1"/>
    <xf numFmtId="11" fontId="19" fillId="0" borderId="7" xfId="0" applyNumberFormat="1" applyFont="1" applyFill="1" applyBorder="1"/>
    <xf numFmtId="166" fontId="19" fillId="0" borderId="7" xfId="0" applyNumberFormat="1" applyFont="1" applyFill="1" applyBorder="1"/>
    <xf numFmtId="2" fontId="19" fillId="0" borderId="7" xfId="0" applyNumberFormat="1" applyFont="1" applyFill="1" applyBorder="1"/>
    <xf numFmtId="168" fontId="19" fillId="0" borderId="4" xfId="0" applyNumberFormat="1" applyFont="1" applyFill="1" applyBorder="1"/>
    <xf numFmtId="168" fontId="0" fillId="0" borderId="0" xfId="0" applyNumberFormat="1" applyBorder="1"/>
    <xf numFmtId="168" fontId="0" fillId="0" borderId="12" xfId="0" applyNumberFormat="1" applyBorder="1"/>
    <xf numFmtId="167" fontId="0" fillId="0" borderId="2" xfId="0" applyNumberFormat="1" applyBorder="1"/>
    <xf numFmtId="167" fontId="0" fillId="0" borderId="7" xfId="0" applyNumberFormat="1" applyBorder="1"/>
    <xf numFmtId="167" fontId="0" fillId="0" borderId="4" xfId="0" applyNumberFormat="1" applyBorder="1"/>
    <xf numFmtId="0" fontId="0" fillId="4" borderId="10" xfId="0" applyFill="1" applyBorder="1" applyAlignment="1">
      <alignment horizontal="center" vertical="center"/>
    </xf>
    <xf numFmtId="168" fontId="0" fillId="4" borderId="2" xfId="0" applyNumberFormat="1" applyFill="1" applyBorder="1" applyAlignment="1">
      <alignment horizontal="center" vertical="center"/>
    </xf>
    <xf numFmtId="0" fontId="0" fillId="4" borderId="2" xfId="0" applyFill="1" applyBorder="1" applyAlignment="1">
      <alignment horizontal="center" vertical="center"/>
    </xf>
    <xf numFmtId="1" fontId="0" fillId="4" borderId="10" xfId="0" applyNumberFormat="1" applyFill="1" applyBorder="1" applyAlignment="1">
      <alignment horizontal="center" vertical="center"/>
    </xf>
    <xf numFmtId="168" fontId="0" fillId="4" borderId="7" xfId="0" applyNumberFormat="1" applyFill="1" applyBorder="1" applyAlignment="1">
      <alignment horizontal="center" vertical="center"/>
    </xf>
    <xf numFmtId="1" fontId="0" fillId="4" borderId="7" xfId="0" applyNumberFormat="1" applyFill="1" applyBorder="1" applyAlignment="1">
      <alignment horizontal="center" vertical="center"/>
    </xf>
    <xf numFmtId="1" fontId="0" fillId="4" borderId="5" xfId="0" applyNumberFormat="1" applyFill="1" applyBorder="1" applyAlignment="1">
      <alignment horizontal="center" vertical="center"/>
    </xf>
    <xf numFmtId="168" fontId="0" fillId="4" borderId="4" xfId="0" applyNumberFormat="1" applyFill="1" applyBorder="1" applyAlignment="1">
      <alignment horizontal="center" vertical="center"/>
    </xf>
    <xf numFmtId="1" fontId="0" fillId="4" borderId="4" xfId="0" applyNumberFormat="1" applyFill="1" applyBorder="1" applyAlignment="1">
      <alignment horizontal="center" vertical="center"/>
    </xf>
    <xf numFmtId="0" fontId="3" fillId="4" borderId="22" xfId="0" applyFont="1" applyFill="1" applyBorder="1" applyAlignment="1">
      <alignment horizontal="center" vertical="center" wrapText="1"/>
    </xf>
    <xf numFmtId="0" fontId="0" fillId="4" borderId="10" xfId="0" applyFill="1" applyBorder="1"/>
    <xf numFmtId="0" fontId="0" fillId="4" borderId="5" xfId="0" applyFill="1" applyBorder="1"/>
    <xf numFmtId="0" fontId="0" fillId="4" borderId="11" xfId="0" applyFill="1" applyBorder="1"/>
    <xf numFmtId="0" fontId="0" fillId="4" borderId="13" xfId="0" applyFill="1" applyBorder="1"/>
    <xf numFmtId="0" fontId="3" fillId="4" borderId="23" xfId="0" applyFont="1" applyFill="1" applyBorder="1"/>
    <xf numFmtId="0" fontId="0" fillId="4" borderId="24" xfId="0" applyFill="1" applyBorder="1"/>
    <xf numFmtId="0" fontId="0" fillId="4" borderId="25" xfId="0" applyFill="1" applyBorder="1"/>
    <xf numFmtId="0" fontId="0" fillId="4" borderId="10" xfId="0" applyFill="1" applyBorder="1" applyAlignment="1">
      <alignment horizontal="right" vertical="top" wrapText="1"/>
    </xf>
    <xf numFmtId="0" fontId="0" fillId="4" borderId="0" xfId="0" applyFill="1" applyBorder="1"/>
    <xf numFmtId="1" fontId="0" fillId="4" borderId="11" xfId="0" applyNumberFormat="1" applyFill="1" applyBorder="1"/>
    <xf numFmtId="0" fontId="0" fillId="4" borderId="10" xfId="0" applyFill="1" applyBorder="1" applyAlignment="1">
      <alignment horizontal="right"/>
    </xf>
    <xf numFmtId="0" fontId="0" fillId="4" borderId="5" xfId="0" applyFill="1" applyBorder="1" applyAlignment="1">
      <alignment horizontal="right"/>
    </xf>
    <xf numFmtId="0" fontId="21" fillId="4" borderId="23" xfId="0" applyFont="1" applyFill="1" applyBorder="1"/>
    <xf numFmtId="0" fontId="21" fillId="4" borderId="24" xfId="0" applyFont="1" applyFill="1" applyBorder="1"/>
    <xf numFmtId="0" fontId="21" fillId="4" borderId="25" xfId="0" applyFont="1" applyFill="1" applyBorder="1"/>
    <xf numFmtId="167" fontId="0" fillId="4" borderId="0" xfId="0" applyNumberFormat="1" applyFill="1" applyBorder="1"/>
    <xf numFmtId="168" fontId="0" fillId="4" borderId="0" xfId="0" applyNumberFormat="1" applyFill="1" applyBorder="1"/>
    <xf numFmtId="11" fontId="0" fillId="4" borderId="0" xfId="0" applyNumberFormat="1" applyFill="1" applyBorder="1"/>
    <xf numFmtId="0" fontId="3" fillId="4" borderId="24" xfId="0" applyFont="1" applyFill="1" applyBorder="1"/>
    <xf numFmtId="0" fontId="0" fillId="4" borderId="24" xfId="0" applyFill="1" applyBorder="1" applyAlignment="1">
      <alignment horizontal="center"/>
    </xf>
    <xf numFmtId="2" fontId="0" fillId="4" borderId="0" xfId="0" applyNumberFormat="1" applyFill="1" applyBorder="1"/>
    <xf numFmtId="2" fontId="13" fillId="4" borderId="0" xfId="0" applyNumberFormat="1" applyFont="1" applyFill="1" applyBorder="1"/>
    <xf numFmtId="0" fontId="0" fillId="4" borderId="0" xfId="0" applyFill="1" applyBorder="1" applyAlignment="1">
      <alignment horizontal="center"/>
    </xf>
    <xf numFmtId="11" fontId="13" fillId="4" borderId="0" xfId="0" applyNumberFormat="1" applyFont="1" applyFill="1" applyBorder="1"/>
    <xf numFmtId="168" fontId="0" fillId="4" borderId="12" xfId="0" applyNumberFormat="1" applyFill="1" applyBorder="1"/>
    <xf numFmtId="168" fontId="13" fillId="4" borderId="12" xfId="0" applyNumberFormat="1" applyFont="1" applyFill="1" applyBorder="1"/>
    <xf numFmtId="0" fontId="0" fillId="4" borderId="12" xfId="0" applyFill="1" applyBorder="1" applyAlignment="1">
      <alignment horizontal="center"/>
    </xf>
    <xf numFmtId="0" fontId="0" fillId="17" borderId="0" xfId="0" applyFill="1"/>
    <xf numFmtId="0" fontId="44" fillId="17" borderId="0" xfId="0" applyFont="1" applyFill="1"/>
    <xf numFmtId="0" fontId="38" fillId="17" borderId="0" xfId="0" applyFont="1" applyFill="1"/>
    <xf numFmtId="0" fontId="38" fillId="17" borderId="0" xfId="0" applyFont="1" applyFill="1" applyBorder="1"/>
    <xf numFmtId="0" fontId="0" fillId="15" borderId="0" xfId="0" applyFill="1" applyBorder="1"/>
    <xf numFmtId="0" fontId="3" fillId="16" borderId="3" xfId="0" applyFont="1" applyFill="1" applyBorder="1"/>
    <xf numFmtId="0" fontId="0" fillId="16" borderId="8" xfId="0" applyFill="1" applyBorder="1"/>
    <xf numFmtId="0" fontId="0" fillId="16" borderId="9" xfId="0" applyFont="1" applyFill="1" applyBorder="1"/>
    <xf numFmtId="0" fontId="3" fillId="16" borderId="23" xfId="0" applyFont="1" applyFill="1" applyBorder="1"/>
    <xf numFmtId="0" fontId="0" fillId="16" borderId="24" xfId="0" applyFill="1" applyBorder="1"/>
    <xf numFmtId="0" fontId="0" fillId="16" borderId="25" xfId="0" applyFill="1" applyBorder="1"/>
    <xf numFmtId="0" fontId="3" fillId="16" borderId="24" xfId="0" applyFont="1" applyFill="1" applyBorder="1"/>
    <xf numFmtId="0" fontId="18" fillId="16" borderId="24" xfId="0" applyFont="1" applyFill="1" applyBorder="1"/>
    <xf numFmtId="0" fontId="21" fillId="16" borderId="24" xfId="0" applyFont="1" applyFill="1" applyBorder="1"/>
    <xf numFmtId="0" fontId="21" fillId="16" borderId="25" xfId="0" applyFont="1" applyFill="1" applyBorder="1"/>
    <xf numFmtId="0" fontId="3" fillId="16" borderId="23" xfId="0" applyFont="1" applyFill="1" applyBorder="1" applyAlignment="1">
      <alignment vertical="center"/>
    </xf>
    <xf numFmtId="0" fontId="0" fillId="16" borderId="24" xfId="0" applyFill="1" applyBorder="1" applyAlignment="1">
      <alignment vertical="center"/>
    </xf>
    <xf numFmtId="0" fontId="0" fillId="16" borderId="25" xfId="0" applyFill="1" applyBorder="1" applyAlignment="1">
      <alignment vertical="center"/>
    </xf>
    <xf numFmtId="0" fontId="3" fillId="0" borderId="2" xfId="0" applyFont="1" applyFill="1" applyBorder="1" applyAlignment="1">
      <alignment horizontal="center" vertical="center"/>
    </xf>
    <xf numFmtId="0" fontId="6" fillId="15" borderId="0" xfId="0" applyFont="1" applyFill="1"/>
    <xf numFmtId="0" fontId="0" fillId="0" borderId="23" xfId="0" applyBorder="1" applyAlignment="1">
      <alignment horizontal="right"/>
    </xf>
    <xf numFmtId="0" fontId="0" fillId="4" borderId="26" xfId="0" applyFont="1" applyFill="1" applyBorder="1"/>
    <xf numFmtId="0" fontId="0" fillId="0" borderId="3" xfId="0" applyBorder="1" applyAlignment="1">
      <alignment horizontal="right"/>
    </xf>
    <xf numFmtId="0" fontId="0" fillId="4" borderId="27" xfId="0" applyFont="1" applyFill="1" applyBorder="1"/>
    <xf numFmtId="0" fontId="0" fillId="0" borderId="5" xfId="0" applyBorder="1" applyAlignment="1">
      <alignment horizontal="right"/>
    </xf>
    <xf numFmtId="0" fontId="0" fillId="4" borderId="28" xfId="0" applyFont="1" applyFill="1" applyBorder="1"/>
    <xf numFmtId="0" fontId="0" fillId="0" borderId="11" xfId="0" applyBorder="1" applyAlignment="1">
      <alignment horizontal="center" vertical="center"/>
    </xf>
    <xf numFmtId="0" fontId="0" fillId="16" borderId="9" xfId="0" applyFill="1" applyBorder="1"/>
    <xf numFmtId="0" fontId="0" fillId="16" borderId="8" xfId="0" applyFill="1" applyBorder="1" applyAlignment="1">
      <alignment horizontal="center" vertical="center"/>
    </xf>
    <xf numFmtId="0" fontId="0" fillId="16" borderId="9" xfId="0" applyFill="1" applyBorder="1" applyAlignment="1">
      <alignment horizontal="center" vertical="center"/>
    </xf>
    <xf numFmtId="0" fontId="0" fillId="0" borderId="23" xfId="0" applyFont="1" applyBorder="1" applyAlignment="1">
      <alignment horizontal="right"/>
    </xf>
    <xf numFmtId="1" fontId="0" fillId="4" borderId="26" xfId="0" applyNumberFormat="1" applyFont="1" applyFill="1" applyBorder="1"/>
    <xf numFmtId="0" fontId="12" fillId="0" borderId="0" xfId="0" applyFont="1" applyBorder="1"/>
    <xf numFmtId="1" fontId="0" fillId="4" borderId="29" xfId="0" applyNumberFormat="1" applyFill="1" applyBorder="1"/>
    <xf numFmtId="1" fontId="0" fillId="4" borderId="30" xfId="0" applyNumberFormat="1" applyFill="1" applyBorder="1"/>
    <xf numFmtId="164" fontId="0" fillId="4" borderId="31" xfId="0" applyNumberFormat="1" applyFont="1" applyFill="1" applyBorder="1"/>
    <xf numFmtId="0" fontId="3" fillId="16" borderId="3" xfId="0" applyFont="1" applyFill="1" applyBorder="1" applyAlignment="1">
      <alignment horizontal="center" vertical="center"/>
    </xf>
    <xf numFmtId="0" fontId="0" fillId="6" borderId="0" xfId="0" applyFill="1" applyBorder="1" applyAlignment="1">
      <alignment horizontal="center" vertical="center"/>
    </xf>
    <xf numFmtId="0" fontId="0" fillId="6" borderId="0" xfId="0" applyFill="1" applyBorder="1" applyAlignment="1">
      <alignment horizontal="center" vertical="center" wrapText="1"/>
    </xf>
    <xf numFmtId="0" fontId="0" fillId="6" borderId="0" xfId="0" applyFont="1" applyFill="1" applyBorder="1"/>
    <xf numFmtId="0" fontId="0" fillId="6" borderId="0" xfId="0" applyFill="1" applyAlignment="1">
      <alignment vertical="center"/>
    </xf>
    <xf numFmtId="0" fontId="0" fillId="6" borderId="22" xfId="0" applyFill="1" applyBorder="1"/>
    <xf numFmtId="0" fontId="3" fillId="6" borderId="0" xfId="0" applyFont="1" applyFill="1" applyBorder="1"/>
    <xf numFmtId="0" fontId="0" fillId="4" borderId="3" xfId="0" applyFill="1" applyBorder="1" applyAlignment="1">
      <alignment horizontal="right" vertical="top" wrapText="1"/>
    </xf>
    <xf numFmtId="0" fontId="0" fillId="4" borderId="8" xfId="0" applyFill="1" applyBorder="1"/>
    <xf numFmtId="1" fontId="0" fillId="4" borderId="9" xfId="0" applyNumberFormat="1" applyFill="1" applyBorder="1"/>
    <xf numFmtId="2" fontId="0" fillId="6" borderId="0" xfId="0" applyNumberFormat="1" applyFill="1"/>
    <xf numFmtId="0" fontId="20" fillId="6" borderId="0" xfId="0" applyFont="1" applyFill="1" applyBorder="1"/>
    <xf numFmtId="1" fontId="0" fillId="6" borderId="0" xfId="0" applyNumberFormat="1" applyFill="1" applyBorder="1"/>
    <xf numFmtId="0" fontId="0" fillId="6" borderId="7" xfId="0" applyFill="1" applyBorder="1" applyAlignment="1">
      <alignment horizontal="center" vertical="center"/>
    </xf>
    <xf numFmtId="0" fontId="0" fillId="6" borderId="4" xfId="0" applyFill="1" applyBorder="1" applyAlignment="1">
      <alignment horizontal="center" vertical="center"/>
    </xf>
    <xf numFmtId="2" fontId="0" fillId="6" borderId="11" xfId="0" applyNumberFormat="1" applyFill="1" applyBorder="1" applyAlignment="1">
      <alignment horizontal="center" vertical="center"/>
    </xf>
    <xf numFmtId="2" fontId="0" fillId="6" borderId="13" xfId="0" applyNumberFormat="1" applyFill="1" applyBorder="1" applyAlignment="1">
      <alignment horizontal="center" vertical="center"/>
    </xf>
    <xf numFmtId="0" fontId="0" fillId="6" borderId="10" xfId="0" applyFill="1" applyBorder="1" applyAlignment="1">
      <alignment horizontal="center" vertical="center"/>
    </xf>
    <xf numFmtId="0" fontId="0" fillId="6" borderId="5" xfId="0" applyFill="1" applyBorder="1" applyAlignment="1">
      <alignment horizontal="center" vertical="center"/>
    </xf>
    <xf numFmtId="0" fontId="29" fillId="0" borderId="0" xfId="19"/>
    <xf numFmtId="0" fontId="2" fillId="0" borderId="0" xfId="0" applyFont="1" applyBorder="1"/>
    <xf numFmtId="1" fontId="0" fillId="4" borderId="6" xfId="0" applyNumberFormat="1" applyFill="1" applyBorder="1"/>
    <xf numFmtId="0" fontId="0" fillId="16" borderId="23" xfId="0" applyFill="1" applyBorder="1"/>
    <xf numFmtId="2" fontId="0" fillId="4" borderId="28" xfId="0" applyNumberFormat="1" applyFill="1" applyBorder="1"/>
    <xf numFmtId="2" fontId="0" fillId="4" borderId="6" xfId="0" applyNumberFormat="1" applyFill="1" applyBorder="1"/>
    <xf numFmtId="0" fontId="3" fillId="0" borderId="24" xfId="0" applyFont="1" applyBorder="1" applyAlignment="1">
      <alignment horizontal="center"/>
    </xf>
    <xf numFmtId="0" fontId="3" fillId="0" borderId="22" xfId="0" applyFont="1" applyBorder="1" applyAlignment="1">
      <alignment horizontal="center"/>
    </xf>
    <xf numFmtId="164" fontId="0" fillId="4" borderId="28" xfId="0" applyNumberFormat="1" applyFill="1" applyBorder="1"/>
    <xf numFmtId="1" fontId="0" fillId="4" borderId="28" xfId="0" applyNumberFormat="1" applyFill="1" applyBorder="1"/>
    <xf numFmtId="166" fontId="0" fillId="4" borderId="6" xfId="0" applyNumberFormat="1" applyFill="1" applyBorder="1"/>
    <xf numFmtId="166" fontId="0" fillId="4" borderId="28" xfId="0" applyNumberFormat="1" applyFill="1" applyBorder="1"/>
    <xf numFmtId="0" fontId="0" fillId="0" borderId="10" xfId="0" applyFill="1" applyBorder="1" applyAlignment="1">
      <alignment horizontal="right"/>
    </xf>
    <xf numFmtId="0" fontId="0" fillId="3" borderId="0" xfId="0" applyFill="1"/>
    <xf numFmtId="0" fontId="4" fillId="3" borderId="0" xfId="0" applyFont="1" applyFill="1"/>
    <xf numFmtId="0" fontId="1" fillId="3" borderId="0" xfId="0" applyFont="1" applyFill="1"/>
    <xf numFmtId="0" fontId="0" fillId="6" borderId="0" xfId="0" applyFill="1" applyAlignment="1">
      <alignment horizontal="left" vertical="center"/>
    </xf>
    <xf numFmtId="0" fontId="0" fillId="4" borderId="16" xfId="0" applyFont="1" applyFill="1" applyBorder="1"/>
    <xf numFmtId="0" fontId="0" fillId="4" borderId="16" xfId="0" applyFill="1" applyBorder="1" applyAlignment="1">
      <alignment horizontal="left"/>
    </xf>
    <xf numFmtId="0" fontId="0" fillId="6" borderId="33" xfId="0" applyFill="1" applyBorder="1"/>
    <xf numFmtId="0" fontId="3" fillId="16" borderId="35" xfId="0" applyFont="1" applyFill="1" applyBorder="1"/>
    <xf numFmtId="0" fontId="0" fillId="16" borderId="32" xfId="0" applyFill="1" applyBorder="1"/>
    <xf numFmtId="0" fontId="0" fillId="4" borderId="33" xfId="0" applyFill="1" applyBorder="1"/>
    <xf numFmtId="1" fontId="0" fillId="0" borderId="0" xfId="0" applyNumberFormat="1" applyFill="1" applyBorder="1"/>
    <xf numFmtId="0" fontId="0" fillId="0" borderId="33" xfId="0" applyFill="1" applyBorder="1"/>
    <xf numFmtId="0" fontId="0" fillId="0" borderId="17" xfId="0" applyBorder="1"/>
    <xf numFmtId="0" fontId="0" fillId="0" borderId="33" xfId="0" applyBorder="1"/>
    <xf numFmtId="0" fontId="0" fillId="0" borderId="34" xfId="0" applyBorder="1"/>
    <xf numFmtId="0" fontId="0" fillId="16" borderId="36" xfId="0" applyFill="1" applyBorder="1"/>
    <xf numFmtId="0" fontId="3" fillId="0" borderId="0" xfId="0" applyFont="1" applyFill="1" applyBorder="1"/>
    <xf numFmtId="0" fontId="0" fillId="6" borderId="37" xfId="0" applyFill="1" applyBorder="1"/>
    <xf numFmtId="0" fontId="0" fillId="6" borderId="38" xfId="0" applyFill="1" applyBorder="1"/>
    <xf numFmtId="0" fontId="0" fillId="6" borderId="39" xfId="0" applyFill="1" applyBorder="1"/>
    <xf numFmtId="0" fontId="0" fillId="6" borderId="40" xfId="0" applyFill="1" applyBorder="1"/>
    <xf numFmtId="0" fontId="0" fillId="6" borderId="34" xfId="0" applyFill="1" applyBorder="1"/>
    <xf numFmtId="0" fontId="0" fillId="0" borderId="40" xfId="0" applyBorder="1"/>
    <xf numFmtId="0" fontId="3" fillId="16" borderId="36" xfId="0" applyFont="1" applyFill="1" applyBorder="1"/>
    <xf numFmtId="0" fontId="3" fillId="16" borderId="32" xfId="0" applyFont="1" applyFill="1" applyBorder="1"/>
    <xf numFmtId="0" fontId="0" fillId="4" borderId="16" xfId="0" applyFill="1" applyBorder="1"/>
    <xf numFmtId="0" fontId="0" fillId="4" borderId="17" xfId="0" applyFill="1" applyBorder="1"/>
    <xf numFmtId="0" fontId="0" fillId="4" borderId="40" xfId="0" applyFill="1" applyBorder="1"/>
    <xf numFmtId="0" fontId="0" fillId="4" borderId="34" xfId="0" applyFill="1" applyBorder="1"/>
    <xf numFmtId="0" fontId="21" fillId="4" borderId="0" xfId="0" applyFont="1" applyFill="1" applyBorder="1"/>
    <xf numFmtId="167" fontId="13" fillId="4" borderId="17" xfId="0" applyNumberFormat="1" applyFont="1" applyFill="1" applyBorder="1"/>
    <xf numFmtId="2" fontId="13" fillId="4" borderId="17" xfId="0" applyNumberFormat="1" applyFont="1" applyFill="1" applyBorder="1" applyAlignment="1">
      <alignment horizontal="right"/>
    </xf>
    <xf numFmtId="170" fontId="0" fillId="0" borderId="0" xfId="1" applyNumberFormat="1" applyFont="1" applyFill="1" applyBorder="1"/>
    <xf numFmtId="165" fontId="0" fillId="0" borderId="0" xfId="1" applyNumberFormat="1" applyFont="1" applyFill="1" applyBorder="1"/>
    <xf numFmtId="168" fontId="0" fillId="0" borderId="34" xfId="0" applyNumberFormat="1" applyFill="1" applyBorder="1"/>
    <xf numFmtId="0" fontId="3" fillId="16" borderId="41" xfId="0" applyFont="1" applyFill="1" applyBorder="1"/>
    <xf numFmtId="0" fontId="0" fillId="16" borderId="42" xfId="0" applyFill="1" applyBorder="1"/>
    <xf numFmtId="0" fontId="3" fillId="4" borderId="43" xfId="0" applyFont="1" applyFill="1" applyBorder="1"/>
    <xf numFmtId="0" fontId="0" fillId="0" borderId="42" xfId="0" applyBorder="1"/>
    <xf numFmtId="0" fontId="0" fillId="0" borderId="44" xfId="0" applyFont="1" applyFill="1" applyBorder="1"/>
    <xf numFmtId="0" fontId="0" fillId="0" borderId="45" xfId="0" applyBorder="1"/>
    <xf numFmtId="0" fontId="0" fillId="0" borderId="46" xfId="0" applyBorder="1"/>
    <xf numFmtId="11" fontId="0" fillId="4" borderId="17" xfId="0" applyNumberFormat="1" applyFill="1" applyBorder="1"/>
    <xf numFmtId="167" fontId="0" fillId="4" borderId="40" xfId="0" applyNumberFormat="1" applyFill="1" applyBorder="1"/>
    <xf numFmtId="11" fontId="0" fillId="4" borderId="40" xfId="0" applyNumberFormat="1" applyFill="1" applyBorder="1"/>
    <xf numFmtId="164" fontId="0" fillId="4" borderId="17" xfId="0" applyNumberFormat="1" applyFill="1" applyBorder="1"/>
    <xf numFmtId="164" fontId="0" fillId="4" borderId="34" xfId="0" applyNumberFormat="1" applyFill="1" applyBorder="1"/>
    <xf numFmtId="0" fontId="0" fillId="4" borderId="22" xfId="0" applyFill="1" applyBorder="1"/>
    <xf numFmtId="43" fontId="0" fillId="4" borderId="1" xfId="0" applyNumberFormat="1" applyFill="1" applyBorder="1"/>
    <xf numFmtId="0" fontId="0" fillId="6" borderId="1" xfId="0" applyFill="1" applyBorder="1"/>
    <xf numFmtId="1" fontId="0" fillId="4" borderId="1" xfId="0" applyNumberFormat="1" applyFill="1" applyBorder="1" applyAlignment="1">
      <alignment horizontal="center" vertical="center"/>
    </xf>
    <xf numFmtId="0" fontId="1" fillId="22" borderId="0" xfId="0" applyFont="1" applyFill="1"/>
    <xf numFmtId="0" fontId="1" fillId="5" borderId="0" xfId="0" applyFont="1" applyFill="1"/>
    <xf numFmtId="0" fontId="0" fillId="16" borderId="23" xfId="0" applyFill="1" applyBorder="1" applyAlignment="1">
      <alignment horizontal="left"/>
    </xf>
    <xf numFmtId="0" fontId="0" fillId="4" borderId="37" xfId="0" applyFill="1" applyBorder="1"/>
    <xf numFmtId="0" fontId="0" fillId="4" borderId="38" xfId="0" applyFill="1" applyBorder="1"/>
    <xf numFmtId="167" fontId="0" fillId="4" borderId="38" xfId="0" applyNumberFormat="1" applyFill="1" applyBorder="1"/>
    <xf numFmtId="167" fontId="19" fillId="4" borderId="39" xfId="0" applyNumberFormat="1" applyFont="1" applyFill="1" applyBorder="1"/>
    <xf numFmtId="0" fontId="0" fillId="4" borderId="0" xfId="0" applyFont="1" applyFill="1" applyBorder="1" applyAlignment="1">
      <alignment vertical="top"/>
    </xf>
    <xf numFmtId="0" fontId="0" fillId="4" borderId="17" xfId="0" applyFont="1" applyFill="1" applyBorder="1" applyAlignment="1">
      <alignment vertical="top"/>
    </xf>
    <xf numFmtId="0" fontId="1" fillId="4" borderId="33" xfId="0" applyFont="1" applyFill="1" applyBorder="1"/>
    <xf numFmtId="0" fontId="0" fillId="4" borderId="40" xfId="0" applyFont="1" applyFill="1" applyBorder="1"/>
    <xf numFmtId="0" fontId="0" fillId="4" borderId="34" xfId="0" applyFont="1" applyFill="1" applyBorder="1"/>
    <xf numFmtId="0" fontId="0" fillId="16" borderId="44" xfId="0" applyFill="1" applyBorder="1"/>
    <xf numFmtId="0" fontId="0" fillId="0" borderId="16" xfId="0" applyBorder="1" applyAlignment="1">
      <alignment horizontal="right"/>
    </xf>
    <xf numFmtId="0" fontId="0" fillId="0" borderId="47" xfId="0" applyBorder="1"/>
    <xf numFmtId="0" fontId="0" fillId="0" borderId="33" xfId="0" applyBorder="1" applyAlignment="1">
      <alignment horizontal="right"/>
    </xf>
    <xf numFmtId="165" fontId="0" fillId="18" borderId="1" xfId="1" applyNumberFormat="1" applyFont="1" applyFill="1" applyBorder="1"/>
    <xf numFmtId="0" fontId="3" fillId="6" borderId="0" xfId="0" applyFont="1" applyFill="1" applyBorder="1" applyAlignment="1">
      <alignment horizontal="center"/>
    </xf>
    <xf numFmtId="0" fontId="12" fillId="0" borderId="23" xfId="0" applyFont="1" applyBorder="1"/>
    <xf numFmtId="0" fontId="12" fillId="0" borderId="24" xfId="0" applyFont="1" applyBorder="1"/>
    <xf numFmtId="0" fontId="12" fillId="0" borderId="25" xfId="0" applyFont="1" applyBorder="1"/>
    <xf numFmtId="0" fontId="52" fillId="0" borderId="23" xfId="0" applyFont="1" applyBorder="1"/>
    <xf numFmtId="0" fontId="52" fillId="0" borderId="24" xfId="0" applyFont="1" applyBorder="1"/>
    <xf numFmtId="0" fontId="12" fillId="0" borderId="10" xfId="0" applyFont="1" applyBorder="1" applyAlignment="1">
      <alignment horizontal="right"/>
    </xf>
    <xf numFmtId="2" fontId="12" fillId="4" borderId="6" xfId="0" applyNumberFormat="1" applyFont="1" applyFill="1" applyBorder="1"/>
    <xf numFmtId="0" fontId="12" fillId="0" borderId="11" xfId="0" applyFont="1" applyBorder="1"/>
    <xf numFmtId="2" fontId="12" fillId="4" borderId="1" xfId="0" applyNumberFormat="1" applyFont="1" applyFill="1" applyBorder="1"/>
    <xf numFmtId="0" fontId="12" fillId="0" borderId="10" xfId="0" applyFont="1" applyFill="1" applyBorder="1" applyAlignment="1">
      <alignment horizontal="right"/>
    </xf>
    <xf numFmtId="0" fontId="12" fillId="0" borderId="5" xfId="0" applyFont="1" applyBorder="1" applyAlignment="1">
      <alignment horizontal="right"/>
    </xf>
    <xf numFmtId="2" fontId="12" fillId="4" borderId="28" xfId="0" applyNumberFormat="1" applyFont="1" applyFill="1" applyBorder="1"/>
    <xf numFmtId="0" fontId="12" fillId="0" borderId="13" xfId="0" applyFont="1" applyBorder="1"/>
    <xf numFmtId="0" fontId="3" fillId="0" borderId="45" xfId="0" applyFont="1" applyBorder="1"/>
    <xf numFmtId="0" fontId="3" fillId="0" borderId="46" xfId="0" applyFont="1" applyBorder="1"/>
    <xf numFmtId="0" fontId="0" fillId="0" borderId="16" xfId="0" applyFill="1" applyBorder="1" applyAlignment="1">
      <alignment horizontal="right"/>
    </xf>
    <xf numFmtId="0" fontId="0" fillId="16" borderId="41" xfId="0" applyFill="1" applyBorder="1"/>
    <xf numFmtId="169" fontId="10" fillId="20" borderId="1" xfId="1" applyNumberFormat="1" applyFont="1" applyFill="1" applyBorder="1" applyAlignment="1">
      <alignment horizontal="right" vertical="center"/>
    </xf>
    <xf numFmtId="0" fontId="0" fillId="0" borderId="0" xfId="0" applyAlignment="1">
      <alignment horizontal="left"/>
    </xf>
    <xf numFmtId="0" fontId="0" fillId="0" borderId="10" xfId="0" applyFill="1" applyBorder="1" applyAlignment="1">
      <alignment horizontal="left"/>
    </xf>
    <xf numFmtId="0" fontId="17" fillId="0" borderId="0" xfId="0" applyFont="1" applyFill="1" applyBorder="1" applyAlignment="1">
      <alignment horizontal="center"/>
    </xf>
    <xf numFmtId="0" fontId="5" fillId="0" borderId="0" xfId="0" applyFont="1" applyFill="1" applyBorder="1"/>
    <xf numFmtId="169" fontId="1" fillId="0" borderId="0" xfId="1" applyNumberFormat="1" applyFont="1" applyFill="1" applyBorder="1" applyAlignment="1">
      <alignment horizontal="right"/>
    </xf>
    <xf numFmtId="0" fontId="22" fillId="0" borderId="0" xfId="0" applyFont="1" applyFill="1" applyBorder="1"/>
    <xf numFmtId="0" fontId="1" fillId="0" borderId="0" xfId="0" applyFont="1" applyFill="1" applyBorder="1" applyAlignment="1">
      <alignment vertical="center"/>
    </xf>
    <xf numFmtId="0" fontId="4" fillId="0" borderId="0" xfId="0" applyFont="1" applyFill="1" applyBorder="1"/>
    <xf numFmtId="165" fontId="1" fillId="0" borderId="0" xfId="1" applyNumberFormat="1" applyFont="1" applyFill="1" applyBorder="1"/>
    <xf numFmtId="165" fontId="3" fillId="0" borderId="0" xfId="0" applyNumberFormat="1" applyFont="1" applyFill="1" applyBorder="1"/>
    <xf numFmtId="0" fontId="0" fillId="0" borderId="0" xfId="0" applyFont="1" applyFill="1" applyBorder="1" applyAlignment="1">
      <alignment horizontal="right"/>
    </xf>
    <xf numFmtId="0" fontId="11" fillId="0" borderId="0" xfId="0" applyFont="1" applyFill="1" applyBorder="1"/>
    <xf numFmtId="0" fontId="0" fillId="0" borderId="0" xfId="0" applyFont="1" applyFill="1" applyBorder="1"/>
    <xf numFmtId="0" fontId="23" fillId="0" borderId="0" xfId="0" applyFont="1" applyFill="1" applyBorder="1" applyAlignment="1">
      <alignment vertical="center"/>
    </xf>
    <xf numFmtId="165" fontId="0" fillId="0" borderId="0" xfId="0" applyNumberFormat="1" applyFill="1" applyBorder="1"/>
    <xf numFmtId="169" fontId="0" fillId="0" borderId="0" xfId="0" applyNumberFormat="1" applyFill="1" applyBorder="1"/>
    <xf numFmtId="169" fontId="0" fillId="0" borderId="0" xfId="1" applyNumberFormat="1" applyFont="1" applyFill="1" applyBorder="1"/>
    <xf numFmtId="0" fontId="0" fillId="0" borderId="0" xfId="0" applyFill="1" applyBorder="1" applyAlignment="1">
      <alignment vertical="top"/>
    </xf>
    <xf numFmtId="0" fontId="1" fillId="0" borderId="0" xfId="0" applyFont="1" applyFill="1" applyBorder="1"/>
    <xf numFmtId="0" fontId="17" fillId="0" borderId="0" xfId="0" applyFont="1" applyFill="1" applyBorder="1"/>
    <xf numFmtId="0" fontId="37" fillId="0" borderId="0" xfId="0" applyFont="1" applyFill="1" applyBorder="1"/>
    <xf numFmtId="0" fontId="53" fillId="6" borderId="0" xfId="0" applyFont="1" applyFill="1" applyAlignment="1">
      <alignment vertical="top"/>
    </xf>
    <xf numFmtId="0" fontId="24" fillId="6" borderId="0" xfId="0" applyFont="1" applyFill="1" applyAlignment="1">
      <alignment wrapText="1"/>
    </xf>
    <xf numFmtId="0" fontId="14" fillId="6" borderId="0" xfId="0" applyFont="1" applyFill="1" applyAlignment="1">
      <alignment wrapText="1"/>
    </xf>
    <xf numFmtId="0" fontId="46" fillId="6" borderId="0" xfId="0" applyFont="1" applyFill="1"/>
    <xf numFmtId="0" fontId="25" fillId="6" borderId="0" xfId="2" applyFill="1"/>
    <xf numFmtId="0" fontId="25" fillId="6" borderId="0" xfId="2" applyFont="1" applyFill="1"/>
    <xf numFmtId="0" fontId="55" fillId="12" borderId="0" xfId="0" applyFont="1" applyFill="1" applyAlignment="1">
      <alignment horizontal="left" vertical="top" wrapText="1"/>
    </xf>
    <xf numFmtId="0" fontId="39" fillId="6" borderId="0" xfId="0" applyFont="1" applyFill="1" applyAlignment="1">
      <alignment horizontal="left" vertical="center" wrapText="1"/>
    </xf>
    <xf numFmtId="0" fontId="1" fillId="3" borderId="0" xfId="0" applyFont="1" applyFill="1" applyAlignment="1">
      <alignment vertical="top"/>
    </xf>
    <xf numFmtId="0" fontId="56" fillId="0" borderId="0" xfId="0" applyFont="1" applyAlignment="1">
      <alignment horizontal="left" vertical="center" readingOrder="1"/>
    </xf>
    <xf numFmtId="0" fontId="25" fillId="6" borderId="0" xfId="2" applyFill="1" applyAlignment="1"/>
    <xf numFmtId="0" fontId="25" fillId="6" borderId="0" xfId="2" applyFill="1" applyAlignment="1">
      <alignment vertical="center"/>
    </xf>
    <xf numFmtId="0" fontId="25" fillId="6" borderId="0" xfId="2" applyFill="1" applyAlignment="1">
      <alignment horizontal="left" vertical="center"/>
    </xf>
    <xf numFmtId="0" fontId="0" fillId="4" borderId="0" xfId="0" applyFont="1" applyFill="1" applyBorder="1"/>
    <xf numFmtId="1" fontId="0" fillId="4" borderId="11" xfId="0" applyNumberFormat="1" applyFont="1" applyFill="1" applyBorder="1"/>
    <xf numFmtId="0" fontId="0" fillId="4" borderId="12" xfId="0" applyFont="1" applyFill="1" applyBorder="1"/>
    <xf numFmtId="1" fontId="0" fillId="4" borderId="13" xfId="0" applyNumberFormat="1" applyFont="1" applyFill="1" applyBorder="1"/>
    <xf numFmtId="0" fontId="0" fillId="6" borderId="1" xfId="0" applyFill="1" applyBorder="1" applyAlignment="1" applyProtection="1">
      <alignment horizontal="center" vertical="center" wrapText="1"/>
      <protection locked="0"/>
    </xf>
    <xf numFmtId="0" fontId="3" fillId="4" borderId="48" xfId="0" applyFont="1" applyFill="1" applyBorder="1" applyAlignment="1">
      <alignment vertical="center" wrapText="1"/>
    </xf>
    <xf numFmtId="0" fontId="58" fillId="4" borderId="16" xfId="0" applyFont="1" applyFill="1" applyBorder="1"/>
    <xf numFmtId="0" fontId="1" fillId="3" borderId="0" xfId="0" applyFont="1" applyFill="1" applyAlignment="1">
      <alignment vertical="center"/>
    </xf>
    <xf numFmtId="0" fontId="0" fillId="6" borderId="0" xfId="0" applyFill="1" applyAlignment="1">
      <alignment horizontal="left" vertical="top" wrapText="1"/>
    </xf>
    <xf numFmtId="165" fontId="0" fillId="20" borderId="1" xfId="1" applyNumberFormat="1" applyFont="1" applyFill="1" applyBorder="1"/>
    <xf numFmtId="165" fontId="0" fillId="6" borderId="1" xfId="1" applyNumberFormat="1" applyFont="1" applyFill="1" applyBorder="1"/>
    <xf numFmtId="165" fontId="0" fillId="20" borderId="1" xfId="1" applyNumberFormat="1" applyFont="1" applyFill="1" applyBorder="1" applyAlignment="1">
      <alignment horizontal="right" vertical="center"/>
    </xf>
    <xf numFmtId="165" fontId="3" fillId="19" borderId="1" xfId="1" applyNumberFormat="1" applyFont="1" applyFill="1" applyBorder="1" applyAlignment="1" applyProtection="1">
      <alignment vertical="center"/>
      <protection locked="0"/>
    </xf>
    <xf numFmtId="165" fontId="0" fillId="4" borderId="1" xfId="1" applyNumberFormat="1" applyFont="1" applyFill="1" applyBorder="1" applyAlignment="1">
      <alignment horizontal="right" vertical="center"/>
    </xf>
    <xf numFmtId="165" fontId="0" fillId="6" borderId="1" xfId="1" applyNumberFormat="1" applyFont="1" applyFill="1" applyBorder="1" applyAlignment="1">
      <alignment horizontal="right" vertical="center"/>
    </xf>
    <xf numFmtId="169" fontId="0" fillId="6" borderId="1" xfId="1" applyNumberFormat="1" applyFont="1" applyFill="1" applyBorder="1" applyAlignment="1">
      <alignment horizontal="right"/>
    </xf>
    <xf numFmtId="165" fontId="0" fillId="21" borderId="1" xfId="1" applyNumberFormat="1" applyFont="1" applyFill="1" applyBorder="1"/>
    <xf numFmtId="0" fontId="3" fillId="4" borderId="0" xfId="0" applyFont="1" applyFill="1"/>
    <xf numFmtId="1" fontId="3" fillId="6" borderId="0" xfId="1" applyNumberFormat="1" applyFont="1" applyFill="1" applyBorder="1" applyAlignment="1">
      <alignment horizontal="left" vertical="top"/>
    </xf>
    <xf numFmtId="0" fontId="0" fillId="6" borderId="0" xfId="0" applyFill="1"/>
    <xf numFmtId="0" fontId="17" fillId="6" borderId="0" xfId="0" applyFont="1" applyFill="1"/>
    <xf numFmtId="0" fontId="1" fillId="6" borderId="0" xfId="0" applyFont="1" applyFill="1"/>
    <xf numFmtId="0" fontId="3" fillId="6" borderId="0" xfId="0" applyFont="1" applyFill="1"/>
    <xf numFmtId="0" fontId="6" fillId="6" borderId="0" xfId="0" applyFont="1" applyFill="1"/>
    <xf numFmtId="0" fontId="0" fillId="6" borderId="0" xfId="0" applyFill="1" applyAlignment="1">
      <alignment horizontal="right"/>
    </xf>
    <xf numFmtId="0" fontId="16" fillId="6" borderId="0" xfId="0" applyFont="1" applyFill="1"/>
    <xf numFmtId="0" fontId="22" fillId="6" borderId="0" xfId="0" applyFont="1" applyFill="1"/>
    <xf numFmtId="0" fontId="0" fillId="0" borderId="0" xfId="0" applyFill="1"/>
    <xf numFmtId="0" fontId="0" fillId="0" borderId="0" xfId="0" applyFill="1" applyBorder="1"/>
    <xf numFmtId="0" fontId="0" fillId="6" borderId="0" xfId="0" applyFill="1" applyAlignment="1">
      <alignment wrapText="1"/>
    </xf>
    <xf numFmtId="0" fontId="0" fillId="6" borderId="0" xfId="0" applyFill="1" applyAlignment="1">
      <alignment vertical="top" wrapText="1"/>
    </xf>
    <xf numFmtId="0" fontId="39" fillId="6" borderId="0" xfId="0" applyFont="1" applyFill="1" applyAlignment="1">
      <alignment vertical="top" wrapText="1"/>
    </xf>
    <xf numFmtId="0" fontId="17" fillId="6" borderId="0" xfId="0" applyFont="1" applyFill="1" applyAlignment="1">
      <alignment horizontal="left" vertical="center"/>
    </xf>
    <xf numFmtId="2" fontId="0" fillId="6" borderId="11" xfId="0" applyNumberFormat="1" applyFill="1" applyBorder="1" applyAlignment="1">
      <alignment horizontal="center" vertical="center"/>
    </xf>
    <xf numFmtId="0" fontId="0" fillId="6" borderId="10" xfId="0" applyFill="1" applyBorder="1" applyAlignment="1">
      <alignment horizontal="center" vertical="center"/>
    </xf>
    <xf numFmtId="1" fontId="0" fillId="6" borderId="0" xfId="0" applyNumberFormat="1" applyFill="1"/>
    <xf numFmtId="0" fontId="39" fillId="6" borderId="0" xfId="0" applyFont="1" applyFill="1" applyAlignment="1">
      <alignment wrapText="1"/>
    </xf>
    <xf numFmtId="0" fontId="0" fillId="6" borderId="0" xfId="0" applyFill="1" applyAlignment="1">
      <alignment horizontal="right" vertical="center"/>
    </xf>
    <xf numFmtId="165" fontId="0" fillId="6" borderId="0" xfId="0" applyNumberFormat="1" applyFill="1" applyAlignment="1">
      <alignment horizontal="right" vertical="center"/>
    </xf>
    <xf numFmtId="0" fontId="6" fillId="6" borderId="0" xfId="0" applyFont="1" applyFill="1" applyAlignment="1">
      <alignment horizontal="center"/>
    </xf>
    <xf numFmtId="0" fontId="43" fillId="6" borderId="0" xfId="0" applyFont="1" applyFill="1" applyAlignment="1">
      <alignment wrapText="1"/>
    </xf>
    <xf numFmtId="166" fontId="0" fillId="6" borderId="1" xfId="0" applyNumberFormat="1" applyFill="1" applyBorder="1"/>
    <xf numFmtId="166" fontId="0" fillId="21" borderId="1" xfId="0" applyNumberFormat="1" applyFill="1" applyBorder="1"/>
    <xf numFmtId="0" fontId="48" fillId="6" borderId="0" xfId="0" applyFont="1" applyFill="1"/>
    <xf numFmtId="169" fontId="0" fillId="6" borderId="0" xfId="0" applyNumberFormat="1" applyFill="1" applyAlignment="1">
      <alignment horizontal="right" vertical="center"/>
    </xf>
    <xf numFmtId="0" fontId="43" fillId="0" borderId="0" xfId="0" applyFont="1" applyAlignment="1">
      <alignment vertical="top" wrapText="1"/>
    </xf>
    <xf numFmtId="0" fontId="25" fillId="6" borderId="0" xfId="2" applyFill="1"/>
    <xf numFmtId="0" fontId="17" fillId="6" borderId="0" xfId="0" applyFont="1" applyFill="1" applyAlignment="1">
      <alignment vertical="top" wrapText="1"/>
    </xf>
    <xf numFmtId="0" fontId="50" fillId="6" borderId="0" xfId="0" applyFont="1" applyFill="1"/>
    <xf numFmtId="0" fontId="61" fillId="6" borderId="0" xfId="0" applyFont="1" applyFill="1" applyAlignment="1">
      <alignment horizontal="center"/>
    </xf>
    <xf numFmtId="0" fontId="11" fillId="6" borderId="0" xfId="0" applyFont="1" applyFill="1" applyAlignment="1">
      <alignment horizontal="center"/>
    </xf>
    <xf numFmtId="1" fontId="0" fillId="6" borderId="0" xfId="0" applyNumberFormat="1" applyFill="1" applyBorder="1" applyAlignment="1">
      <alignment horizontal="right" vertical="center"/>
    </xf>
    <xf numFmtId="0" fontId="0" fillId="6" borderId="0" xfId="0" applyFill="1" applyBorder="1" applyAlignment="1">
      <alignment horizontal="right" vertical="center"/>
    </xf>
    <xf numFmtId="0" fontId="43" fillId="6" borderId="0" xfId="0" applyFont="1" applyFill="1" applyAlignment="1">
      <alignment vertical="top" wrapText="1"/>
    </xf>
    <xf numFmtId="0" fontId="0" fillId="6" borderId="0" xfId="0" applyFont="1" applyFill="1" applyAlignment="1">
      <alignment horizontal="right" vertical="center"/>
    </xf>
    <xf numFmtId="0" fontId="3" fillId="19" borderId="1" xfId="0" applyFont="1" applyFill="1" applyBorder="1" applyAlignment="1" applyProtection="1">
      <alignment horizontal="center" vertical="center"/>
      <protection locked="0"/>
    </xf>
    <xf numFmtId="0" fontId="17" fillId="19" borderId="1" xfId="0" applyFont="1" applyFill="1" applyBorder="1" applyAlignment="1" applyProtection="1">
      <alignment horizontal="center" vertical="center"/>
      <protection locked="0"/>
    </xf>
    <xf numFmtId="0" fontId="51" fillId="3" borderId="1" xfId="0" applyFont="1" applyFill="1" applyBorder="1" applyAlignment="1">
      <alignment horizontal="center" vertical="center"/>
    </xf>
    <xf numFmtId="0" fontId="3" fillId="0" borderId="0" xfId="0" applyFont="1" applyFill="1"/>
    <xf numFmtId="11" fontId="62" fillId="0" borderId="11" xfId="0" applyNumberFormat="1" applyFont="1" applyBorder="1"/>
    <xf numFmtId="11" fontId="62" fillId="0" borderId="13" xfId="0" applyNumberFormat="1" applyFont="1" applyBorder="1"/>
    <xf numFmtId="0" fontId="63" fillId="6" borderId="0" xfId="0" applyFont="1" applyFill="1" applyBorder="1"/>
    <xf numFmtId="0" fontId="63" fillId="6" borderId="0" xfId="0" applyFont="1" applyFill="1"/>
    <xf numFmtId="0" fontId="0" fillId="6" borderId="0" xfId="0" applyFill="1" applyProtection="1"/>
    <xf numFmtId="0" fontId="38" fillId="6" borderId="0" xfId="0" applyFont="1" applyFill="1" applyProtection="1"/>
    <xf numFmtId="0" fontId="5" fillId="6" borderId="0" xfId="0" applyFont="1" applyFill="1" applyProtection="1"/>
    <xf numFmtId="0" fontId="0" fillId="3" borderId="0" xfId="0" applyFill="1" applyProtection="1"/>
    <xf numFmtId="0" fontId="38" fillId="3" borderId="0" xfId="0" applyFont="1" applyFill="1" applyProtection="1"/>
    <xf numFmtId="0" fontId="7" fillId="6" borderId="0" xfId="0" applyFont="1" applyFill="1" applyProtection="1"/>
    <xf numFmtId="0" fontId="16" fillId="6" borderId="0" xfId="0" applyFont="1" applyFill="1" applyProtection="1"/>
    <xf numFmtId="0" fontId="1" fillId="3" borderId="0" xfId="0" applyFont="1" applyFill="1" applyProtection="1"/>
    <xf numFmtId="0" fontId="0" fillId="6" borderId="0" xfId="0" applyFont="1" applyFill="1" applyProtection="1"/>
    <xf numFmtId="0" fontId="0" fillId="3" borderId="0" xfId="0" applyFont="1" applyFill="1" applyProtection="1"/>
    <xf numFmtId="0" fontId="59" fillId="6" borderId="0" xfId="0" applyFont="1" applyFill="1" applyProtection="1"/>
    <xf numFmtId="0" fontId="9" fillId="6" borderId="0" xfId="0" applyFont="1" applyFill="1" applyProtection="1"/>
    <xf numFmtId="0" fontId="17" fillId="6" borderId="0" xfId="0" applyFont="1" applyFill="1" applyProtection="1"/>
    <xf numFmtId="0" fontId="17" fillId="6" borderId="0"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57" fillId="2" borderId="1" xfId="0" applyFont="1" applyFill="1" applyBorder="1" applyAlignment="1" applyProtection="1">
      <alignment horizontal="center" vertical="center"/>
    </xf>
    <xf numFmtId="0" fontId="8" fillId="6" borderId="0" xfId="0" applyFont="1" applyFill="1" applyAlignment="1" applyProtection="1">
      <alignment horizontal="left" vertical="center"/>
    </xf>
    <xf numFmtId="0" fontId="15" fillId="6" borderId="0" xfId="0" applyFont="1" applyFill="1" applyProtection="1"/>
    <xf numFmtId="0" fontId="17" fillId="6" borderId="0" xfId="0" applyFont="1" applyFill="1" applyBorder="1" applyAlignment="1" applyProtection="1">
      <alignment horizontal="left" vertical="center" wrapText="1"/>
    </xf>
    <xf numFmtId="0" fontId="8" fillId="6" borderId="0" xfId="0" applyFont="1" applyFill="1" applyProtection="1"/>
    <xf numFmtId="0" fontId="3" fillId="6" borderId="0" xfId="0" applyFont="1" applyFill="1" applyBorder="1" applyAlignment="1" applyProtection="1">
      <alignment horizontal="left" vertical="center" wrapText="1"/>
    </xf>
    <xf numFmtId="0" fontId="0" fillId="6" borderId="0" xfId="0" applyFill="1" applyAlignment="1" applyProtection="1">
      <alignment horizontal="left" vertical="center"/>
    </xf>
    <xf numFmtId="0" fontId="0" fillId="6" borderId="0" xfId="0" applyFill="1" applyBorder="1" applyProtection="1"/>
    <xf numFmtId="0" fontId="3" fillId="6" borderId="0" xfId="0" applyFont="1" applyFill="1" applyAlignment="1" applyProtection="1">
      <alignment horizontal="center"/>
    </xf>
    <xf numFmtId="0" fontId="5" fillId="6" borderId="0" xfId="0" applyFont="1" applyFill="1" applyBorder="1" applyAlignment="1" applyProtection="1">
      <alignment horizontal="center" vertical="center"/>
    </xf>
    <xf numFmtId="0" fontId="2" fillId="3" borderId="0" xfId="0" applyFont="1" applyFill="1" applyProtection="1"/>
    <xf numFmtId="0" fontId="9" fillId="6" borderId="0" xfId="0" applyFont="1" applyFill="1" applyAlignment="1" applyProtection="1">
      <alignment vertical="center"/>
    </xf>
    <xf numFmtId="0" fontId="5" fillId="6" borderId="0" xfId="0" applyFont="1" applyFill="1" applyBorder="1" applyAlignment="1" applyProtection="1">
      <alignment horizontal="left"/>
    </xf>
    <xf numFmtId="0" fontId="0" fillId="6" borderId="0" xfId="0" applyFont="1" applyFill="1" applyBorder="1" applyAlignment="1" applyProtection="1">
      <alignment horizontal="left"/>
    </xf>
    <xf numFmtId="0" fontId="42" fillId="6" borderId="0" xfId="0" applyFont="1" applyFill="1" applyBorder="1" applyAlignment="1" applyProtection="1">
      <alignment horizontal="left" vertical="center"/>
    </xf>
    <xf numFmtId="0" fontId="3" fillId="6" borderId="0" xfId="0" applyFont="1" applyFill="1" applyProtection="1"/>
    <xf numFmtId="0" fontId="0" fillId="6" borderId="0" xfId="0" applyFill="1" applyBorder="1" applyAlignment="1" applyProtection="1">
      <alignment horizontal="left"/>
    </xf>
    <xf numFmtId="0" fontId="17" fillId="6" borderId="0" xfId="0" applyFont="1" applyFill="1" applyAlignment="1" applyProtection="1">
      <alignment horizontal="left" vertical="center"/>
    </xf>
    <xf numFmtId="0" fontId="8" fillId="6" borderId="0" xfId="0" applyFont="1" applyFill="1" applyBorder="1" applyAlignment="1" applyProtection="1">
      <alignment vertical="center"/>
    </xf>
    <xf numFmtId="0" fontId="8" fillId="6" borderId="0" xfId="0" applyFont="1" applyFill="1" applyAlignment="1" applyProtection="1">
      <alignment wrapText="1"/>
    </xf>
    <xf numFmtId="0" fontId="3" fillId="3" borderId="0" xfId="0" applyFont="1" applyFill="1" applyBorder="1" applyAlignment="1" applyProtection="1">
      <alignment horizontal="left" vertical="center" wrapText="1"/>
    </xf>
    <xf numFmtId="0" fontId="0" fillId="3" borderId="0" xfId="0" applyFill="1" applyBorder="1" applyProtection="1"/>
    <xf numFmtId="0" fontId="8" fillId="3" borderId="0" xfId="0" applyFont="1" applyFill="1" applyBorder="1" applyAlignment="1" applyProtection="1">
      <alignment vertical="center"/>
    </xf>
    <xf numFmtId="0" fontId="8" fillId="3" borderId="0" xfId="0" applyFont="1" applyFill="1" applyAlignment="1" applyProtection="1">
      <alignment wrapText="1"/>
    </xf>
    <xf numFmtId="0" fontId="5" fillId="6" borderId="0" xfId="0" applyFont="1" applyFill="1" applyAlignment="1" applyProtection="1">
      <alignment vertical="center"/>
    </xf>
    <xf numFmtId="0" fontId="42" fillId="3" borderId="0" xfId="0" applyFont="1" applyFill="1" applyBorder="1" applyAlignment="1" applyProtection="1">
      <alignment horizontal="center" vertical="center"/>
    </xf>
    <xf numFmtId="0" fontId="11" fillId="3" borderId="0" xfId="0" applyFont="1" applyFill="1" applyAlignment="1" applyProtection="1">
      <alignment vertical="center"/>
    </xf>
    <xf numFmtId="0" fontId="45" fillId="6" borderId="0" xfId="0" applyFont="1" applyFill="1" applyBorder="1" applyProtection="1"/>
    <xf numFmtId="0" fontId="3" fillId="6" borderId="0" xfId="0" applyFont="1" applyFill="1" applyBorder="1" applyAlignment="1" applyProtection="1">
      <alignment horizontal="center" vertical="center"/>
    </xf>
    <xf numFmtId="0" fontId="0" fillId="6" borderId="0" xfId="0" applyFill="1" applyAlignment="1" applyProtection="1">
      <alignment vertical="center"/>
    </xf>
    <xf numFmtId="0" fontId="11" fillId="6" borderId="0" xfId="0" applyFont="1" applyFill="1" applyProtection="1"/>
    <xf numFmtId="0" fontId="3" fillId="6" borderId="22" xfId="0" applyFont="1" applyFill="1" applyBorder="1" applyAlignment="1" applyProtection="1">
      <alignment horizontal="center" vertical="center"/>
      <protection locked="0"/>
    </xf>
    <xf numFmtId="0" fontId="0" fillId="4" borderId="33" xfId="0" applyFill="1" applyBorder="1" applyAlignment="1">
      <alignment horizontal="right" vertical="top" wrapText="1"/>
    </xf>
    <xf numFmtId="0" fontId="1" fillId="3" borderId="0" xfId="0" applyFont="1" applyFill="1" applyAlignment="1">
      <alignment horizontal="left" vertical="top" wrapText="1"/>
    </xf>
    <xf numFmtId="0" fontId="0" fillId="6" borderId="0" xfId="0" applyFill="1" applyAlignment="1">
      <alignment horizontal="left" wrapText="1"/>
    </xf>
    <xf numFmtId="0" fontId="3" fillId="6" borderId="0" xfId="0" applyFont="1" applyFill="1" applyAlignment="1" applyProtection="1">
      <alignment horizontal="center" vertical="center"/>
    </xf>
    <xf numFmtId="0" fontId="17" fillId="6" borderId="0" xfId="0" applyFont="1" applyFill="1" applyBorder="1" applyAlignment="1" applyProtection="1">
      <alignment horizontal="left" vertical="center" wrapText="1"/>
    </xf>
    <xf numFmtId="0" fontId="17" fillId="6" borderId="0" xfId="0" applyFont="1" applyFill="1" applyAlignment="1" applyProtection="1">
      <alignment vertical="top"/>
    </xf>
    <xf numFmtId="0" fontId="6" fillId="6" borderId="0" xfId="0" applyFont="1" applyFill="1" applyProtection="1"/>
  </cellXfs>
  <cellStyles count="24">
    <cellStyle name="60% - Accent1 2" xfId="18"/>
    <cellStyle name="Adnams - Process Headline Figure" xfId="14"/>
    <cellStyle name="Adnams - Table header" xfId="15"/>
    <cellStyle name="Comma" xfId="1" builtinId="3"/>
    <cellStyle name="Comma 2" xfId="10"/>
    <cellStyle name="Comma 2 2" xfId="22"/>
    <cellStyle name="Comma 3" xfId="4"/>
    <cellStyle name="Comma 3 2" xfId="21"/>
    <cellStyle name="Comma 4" xfId="20"/>
    <cellStyle name="Currency 2" xfId="12"/>
    <cellStyle name="Currency 2 2" xfId="23"/>
    <cellStyle name="Default Input" xfId="11"/>
    <cellStyle name="Explanatory Text" xfId="19" builtinId="53"/>
    <cellStyle name="Explanatory Text 2" xfId="7"/>
    <cellStyle name="Hyperlink" xfId="2" builtinId="8"/>
    <cellStyle name="Hyperlink 2" xfId="16"/>
    <cellStyle name="Hyperlink 3" xfId="8"/>
    <cellStyle name="Input 2" xfId="5"/>
    <cellStyle name="Linked Cell 2" xfId="6"/>
    <cellStyle name="Normal" xfId="0" builtinId="0"/>
    <cellStyle name="Normal 11 2" xfId="17"/>
    <cellStyle name="Normal 2" xfId="3"/>
    <cellStyle name="Normal 2 2" xfId="13"/>
    <cellStyle name="Output 2" xfId="9"/>
  </cellStyles>
  <dxfs count="19">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border outline="0">
        <left style="thin">
          <color indexed="64"/>
        </left>
        <right style="thin">
          <color indexed="64"/>
        </right>
        <top style="thin">
          <color indexed="64"/>
        </top>
        <bottom style="thin">
          <color indexed="64"/>
        </bottom>
      </border>
    </dxf>
    <dxf>
      <fill>
        <patternFill patternType="solid">
          <fgColor indexed="64"/>
          <bgColor theme="7" tint="0.79998168889431442"/>
        </patternFill>
      </fill>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dxf>
    <dxf>
      <fill>
        <patternFill patternType="solid">
          <fgColor indexed="64"/>
          <bgColor theme="7" tint="0.79998168889431442"/>
        </patternFill>
      </fill>
    </dxf>
    <dxf>
      <border diagonalUp="0" diagonalDown="0">
        <left style="medium">
          <color indexed="64"/>
        </left>
        <right style="medium">
          <color indexed="64"/>
        </right>
        <top style="medium">
          <color indexed="64"/>
        </top>
        <bottom style="medium">
          <color indexed="64"/>
        </bottom>
      </border>
    </dxf>
    <dxf>
      <fill>
        <patternFill patternType="solid">
          <fgColor indexed="64"/>
          <bgColor theme="7" tint="0.79998168889431442"/>
        </patternFill>
      </fill>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border diagonalUp="0" diagonalDown="0" outline="0">
        <left/>
        <right/>
        <top/>
        <bottom/>
      </border>
    </dxf>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fill>
        <patternFill patternType="solid">
          <fgColor indexed="64"/>
          <bgColor theme="7" tint="0.79998168889431442"/>
        </patternFill>
      </fill>
    </dxf>
    <dxf>
      <border>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border diagonalUp="0" diagonalDown="0" outline="0">
        <left/>
        <right/>
        <top/>
        <bottom/>
      </border>
    </dxf>
    <dxf>
      <fill>
        <patternFill>
          <bgColor rgb="FF92D050"/>
        </patternFill>
      </fill>
    </dxf>
    <dxf>
      <fill>
        <patternFill>
          <bgColor rgb="FFFF0000"/>
        </patternFill>
      </fill>
    </dxf>
  </dxfs>
  <tableStyles count="0" defaultTableStyle="TableStyleMedium2" defaultPivotStyle="PivotStyleLight16"/>
  <colors>
    <mruColors>
      <color rgb="FFEAC0DE"/>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Environmental payback times </a:t>
            </a:r>
            <a:r>
              <a:rPr lang="en-GB" sz="1200" i="1"/>
              <a:t>(based on customised values) </a:t>
            </a:r>
          </a:p>
        </c:rich>
      </c:tx>
      <c:layout>
        <c:manualLayout>
          <c:xMode val="edge"/>
          <c:yMode val="edge"/>
          <c:x val="0.158317328948435"/>
          <c:y val="3.936314679708110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Calculations!$Y$71</c:f>
              <c:strCache>
                <c:ptCount val="1"/>
                <c:pt idx="0">
                  <c:v>heat exchanger</c:v>
                </c:pt>
              </c:strCache>
            </c:strRef>
          </c:tx>
          <c:spPr>
            <a:solidFill>
              <a:schemeClr val="accent4">
                <a:lumMod val="75000"/>
              </a:schemeClr>
            </a:solidFill>
            <a:ln>
              <a:noFill/>
            </a:ln>
            <a:effectLst/>
          </c:spPr>
          <c:invertIfNegative val="0"/>
          <c:cat>
            <c:strRef>
              <c:f>Calculations!$X$109:$X$113</c:f>
              <c:strCache>
                <c:ptCount val="5"/>
                <c:pt idx="0">
                  <c:v>CC</c:v>
                </c:pt>
                <c:pt idx="1">
                  <c:v>AC</c:v>
                </c:pt>
                <c:pt idx="2">
                  <c:v>FE</c:v>
                </c:pt>
                <c:pt idx="3">
                  <c:v>FTox</c:v>
                </c:pt>
                <c:pt idx="4">
                  <c:v>RD</c:v>
                </c:pt>
              </c:strCache>
            </c:strRef>
          </c:cat>
          <c:val>
            <c:numRef>
              <c:f>Calculations!$Y$109:$Y$113</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0-4070-8C40-4E9A31F01D93}"/>
            </c:ext>
          </c:extLst>
        </c:ser>
        <c:ser>
          <c:idx val="1"/>
          <c:order val="1"/>
          <c:tx>
            <c:strRef>
              <c:f>Calculations!$Z$71</c:f>
              <c:strCache>
                <c:ptCount val="1"/>
                <c:pt idx="0">
                  <c:v>pipework</c:v>
                </c:pt>
              </c:strCache>
            </c:strRef>
          </c:tx>
          <c:spPr>
            <a:solidFill>
              <a:schemeClr val="tx2"/>
            </a:solidFill>
            <a:ln>
              <a:noFill/>
            </a:ln>
            <a:effectLst/>
          </c:spPr>
          <c:invertIfNegative val="0"/>
          <c:cat>
            <c:strRef>
              <c:f>Calculations!$X$109:$X$113</c:f>
              <c:strCache>
                <c:ptCount val="5"/>
                <c:pt idx="0">
                  <c:v>CC</c:v>
                </c:pt>
                <c:pt idx="1">
                  <c:v>AC</c:v>
                </c:pt>
                <c:pt idx="2">
                  <c:v>FE</c:v>
                </c:pt>
                <c:pt idx="3">
                  <c:v>FTox</c:v>
                </c:pt>
                <c:pt idx="4">
                  <c:v>RD</c:v>
                </c:pt>
              </c:strCache>
            </c:strRef>
          </c:cat>
          <c:val>
            <c:numRef>
              <c:f>Calculations!$Z$109:$Z$113</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1-B8B0-4070-8C40-4E9A31F01D93}"/>
            </c:ext>
          </c:extLst>
        </c:ser>
        <c:dLbls>
          <c:showLegendKey val="0"/>
          <c:showVal val="0"/>
          <c:showCatName val="0"/>
          <c:showSerName val="0"/>
          <c:showPercent val="0"/>
          <c:showBubbleSize val="0"/>
        </c:dLbls>
        <c:gapWidth val="130"/>
        <c:overlap val="100"/>
        <c:axId val="382350704"/>
        <c:axId val="382348408"/>
      </c:barChart>
      <c:catAx>
        <c:axId val="38235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348408"/>
        <c:crosses val="autoZero"/>
        <c:auto val="1"/>
        <c:lblAlgn val="ctr"/>
        <c:lblOffset val="100"/>
        <c:noMultiLvlLbl val="0"/>
      </c:catAx>
      <c:valAx>
        <c:axId val="382348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350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 !'!$P$14</c:f>
              <c:strCache>
                <c:ptCount val="1"/>
                <c:pt idx="0">
                  <c:v>Total heat recovery over life time [kWh]</c:v>
                </c:pt>
              </c:strCache>
            </c:strRef>
          </c:tx>
          <c:spPr>
            <a:solidFill>
              <a:schemeClr val="accent1"/>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1-EB34-443C-AC9B-EB7F5DA6DD00}"/>
              </c:ext>
            </c:extLst>
          </c:dPt>
          <c:dPt>
            <c:idx val="1"/>
            <c:invertIfNegative val="0"/>
            <c:bubble3D val="0"/>
            <c:spPr>
              <a:pattFill prst="pct75">
                <a:fgClr>
                  <a:schemeClr val="accent4"/>
                </a:fgClr>
                <a:bgClr>
                  <a:schemeClr val="tx1">
                    <a:lumMod val="85000"/>
                    <a:lumOff val="15000"/>
                  </a:schemeClr>
                </a:bgClr>
              </a:pattFill>
              <a:ln>
                <a:noFill/>
              </a:ln>
              <a:effectLst/>
            </c:spPr>
            <c:extLst>
              <c:ext xmlns:c16="http://schemas.microsoft.com/office/drawing/2014/chart" uri="{C3380CC4-5D6E-409C-BE32-E72D297353CC}">
                <c16:uniqueId val="{00000002-EB34-443C-AC9B-EB7F5DA6DD00}"/>
              </c:ext>
            </c:extLst>
          </c:dPt>
          <c:cat>
            <c:strLit>
              <c:ptCount val="2"/>
              <c:pt idx="0">
                <c:v>baseline</c:v>
              </c:pt>
              <c:pt idx="1">
                <c:v> custom</c:v>
              </c:pt>
            </c:strLit>
          </c:cat>
          <c:val>
            <c:numRef>
              <c:f>('Results !'!$R$14,'Results !'!$T$14)</c:f>
              <c:numCache>
                <c:formatCode>_-* #,##0_-;\-* #,##0_-;_-* "-"??_-;_-@_-</c:formatCode>
                <c:ptCount val="2"/>
                <c:pt idx="0">
                  <c:v>#N/A</c:v>
                </c:pt>
                <c:pt idx="1">
                  <c:v>#N/A</c:v>
                </c:pt>
              </c:numCache>
            </c:numRef>
          </c:val>
          <c:extLst>
            <c:ext xmlns:c16="http://schemas.microsoft.com/office/drawing/2014/chart" uri="{C3380CC4-5D6E-409C-BE32-E72D297353CC}">
              <c16:uniqueId val="{00000000-EB34-443C-AC9B-EB7F5DA6DD00}"/>
            </c:ext>
          </c:extLst>
        </c:ser>
        <c:dLbls>
          <c:showLegendKey val="0"/>
          <c:showVal val="0"/>
          <c:showCatName val="0"/>
          <c:showSerName val="0"/>
          <c:showPercent val="0"/>
          <c:showBubbleSize val="0"/>
        </c:dLbls>
        <c:gapWidth val="177"/>
        <c:overlap val="-47"/>
        <c:axId val="1021345936"/>
        <c:axId val="1021349544"/>
      </c:barChart>
      <c:catAx>
        <c:axId val="102134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021349544"/>
        <c:crosses val="autoZero"/>
        <c:auto val="1"/>
        <c:lblAlgn val="ctr"/>
        <c:lblOffset val="100"/>
        <c:noMultiLvlLbl val="0"/>
      </c:catAx>
      <c:valAx>
        <c:axId val="1021349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345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 !'!$P$30</c:f>
              <c:strCache>
                <c:ptCount val="1"/>
                <c:pt idx="0">
                  <c:v>Total operational savings [€]</c:v>
                </c:pt>
              </c:strCache>
            </c:strRef>
          </c:tx>
          <c:spPr>
            <a:solidFill>
              <a:schemeClr val="accent1">
                <a:lumMod val="60000"/>
                <a:lumOff val="40000"/>
              </a:schemeClr>
            </a:solidFill>
            <a:ln>
              <a:noFill/>
            </a:ln>
            <a:effectLst/>
          </c:spPr>
          <c:invertIfNegative val="0"/>
          <c:dPt>
            <c:idx val="1"/>
            <c:invertIfNegative val="0"/>
            <c:bubble3D val="0"/>
            <c:spPr>
              <a:pattFill prst="pct75">
                <a:fgClr>
                  <a:schemeClr val="accent1">
                    <a:lumMod val="60000"/>
                    <a:lumOff val="40000"/>
                  </a:schemeClr>
                </a:fgClr>
                <a:bgClr>
                  <a:schemeClr val="bg2">
                    <a:lumMod val="50000"/>
                  </a:schemeClr>
                </a:bgClr>
              </a:pattFill>
              <a:ln>
                <a:noFill/>
              </a:ln>
              <a:effectLst/>
            </c:spPr>
            <c:extLst>
              <c:ext xmlns:c16="http://schemas.microsoft.com/office/drawing/2014/chart" uri="{C3380CC4-5D6E-409C-BE32-E72D297353CC}">
                <c16:uniqueId val="{00000004-120B-43C0-9EEA-D5A049F3DE8C}"/>
              </c:ext>
            </c:extLst>
          </c:dPt>
          <c:cat>
            <c:strLit>
              <c:ptCount val="2"/>
              <c:pt idx="0">
                <c:v>baseline</c:v>
              </c:pt>
              <c:pt idx="1">
                <c:v>custom</c:v>
              </c:pt>
            </c:strLit>
          </c:cat>
          <c:val>
            <c:numRef>
              <c:f>('Results !'!$R$30,'Results !'!$T$30)</c:f>
              <c:numCache>
                <c:formatCode>_-* #,##0_-;\-* #,##0_-;_-* "-"??_-;_-@_-</c:formatCode>
                <c:ptCount val="2"/>
                <c:pt idx="0">
                  <c:v>#N/A</c:v>
                </c:pt>
                <c:pt idx="1">
                  <c:v>#N/A</c:v>
                </c:pt>
              </c:numCache>
            </c:numRef>
          </c:val>
          <c:extLst>
            <c:ext xmlns:c16="http://schemas.microsoft.com/office/drawing/2014/chart" uri="{C3380CC4-5D6E-409C-BE32-E72D297353CC}">
              <c16:uniqueId val="{00000000-120B-43C0-9EEA-D5A049F3DE8C}"/>
            </c:ext>
          </c:extLst>
        </c:ser>
        <c:ser>
          <c:idx val="1"/>
          <c:order val="1"/>
          <c:tx>
            <c:strRef>
              <c:f>'Results !'!$P$33</c:f>
              <c:strCache>
                <c:ptCount val="1"/>
                <c:pt idx="0">
                  <c:v>Investment costs [€]</c:v>
                </c:pt>
              </c:strCache>
            </c:strRef>
          </c:tx>
          <c:spPr>
            <a:solidFill>
              <a:schemeClr val="accent1">
                <a:lumMod val="50000"/>
              </a:schemeClr>
            </a:solidFill>
            <a:ln>
              <a:noFill/>
            </a:ln>
            <a:effectLst/>
          </c:spPr>
          <c:invertIfNegative val="0"/>
          <c:dPt>
            <c:idx val="1"/>
            <c:invertIfNegative val="0"/>
            <c:bubble3D val="0"/>
            <c:spPr>
              <a:pattFill prst="pct80">
                <a:fgClr>
                  <a:schemeClr val="accent1">
                    <a:lumMod val="50000"/>
                  </a:schemeClr>
                </a:fgClr>
                <a:bgClr>
                  <a:schemeClr val="bg1"/>
                </a:bgClr>
              </a:pattFill>
              <a:ln>
                <a:noFill/>
              </a:ln>
              <a:effectLst/>
            </c:spPr>
            <c:extLst>
              <c:ext xmlns:c16="http://schemas.microsoft.com/office/drawing/2014/chart" uri="{C3380CC4-5D6E-409C-BE32-E72D297353CC}">
                <c16:uniqueId val="{00000005-120B-43C0-9EEA-D5A049F3DE8C}"/>
              </c:ext>
            </c:extLst>
          </c:dPt>
          <c:cat>
            <c:strLit>
              <c:ptCount val="2"/>
              <c:pt idx="0">
                <c:v>baseline</c:v>
              </c:pt>
              <c:pt idx="1">
                <c:v>custom</c:v>
              </c:pt>
            </c:strLit>
          </c:cat>
          <c:val>
            <c:numRef>
              <c:f>('Results !'!$R$33,'Results !'!$T$33)</c:f>
              <c:numCache>
                <c:formatCode>_-* #,##0_-;\-* #,##0_-;_-* "-"??_-;_-@_-</c:formatCode>
                <c:ptCount val="2"/>
                <c:pt idx="0">
                  <c:v>#N/A</c:v>
                </c:pt>
                <c:pt idx="1">
                  <c:v>#N/A</c:v>
                </c:pt>
              </c:numCache>
            </c:numRef>
          </c:val>
          <c:extLst>
            <c:ext xmlns:c16="http://schemas.microsoft.com/office/drawing/2014/chart" uri="{C3380CC4-5D6E-409C-BE32-E72D297353CC}">
              <c16:uniqueId val="{00000001-120B-43C0-9EEA-D5A049F3DE8C}"/>
            </c:ext>
          </c:extLst>
        </c:ser>
        <c:dLbls>
          <c:showLegendKey val="0"/>
          <c:showVal val="0"/>
          <c:showCatName val="0"/>
          <c:showSerName val="0"/>
          <c:showPercent val="0"/>
          <c:showBubbleSize val="0"/>
        </c:dLbls>
        <c:gapWidth val="135"/>
        <c:overlap val="-27"/>
        <c:axId val="1386311704"/>
        <c:axId val="1386310392"/>
      </c:barChart>
      <c:catAx>
        <c:axId val="138631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310392"/>
        <c:crosses val="autoZero"/>
        <c:auto val="1"/>
        <c:lblAlgn val="ctr"/>
        <c:lblOffset val="100"/>
        <c:noMultiLvlLbl val="0"/>
      </c:catAx>
      <c:valAx>
        <c:axId val="1386310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6311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 !'!$D$15</c:f>
              <c:strCache>
                <c:ptCount val="1"/>
                <c:pt idx="0">
                  <c:v>Total operational carbon savings [kg CO2 eq]</c:v>
                </c:pt>
              </c:strCache>
            </c:strRef>
          </c:tx>
          <c:spPr>
            <a:solidFill>
              <a:schemeClr val="accent6">
                <a:lumMod val="60000"/>
                <a:lumOff val="40000"/>
              </a:schemeClr>
            </a:solidFill>
            <a:ln>
              <a:noFill/>
            </a:ln>
            <a:effectLst/>
          </c:spPr>
          <c:invertIfNegative val="0"/>
          <c:dPt>
            <c:idx val="1"/>
            <c:invertIfNegative val="0"/>
            <c:bubble3D val="0"/>
            <c:spPr>
              <a:pattFill prst="pct75">
                <a:fgClr>
                  <a:schemeClr val="accent6">
                    <a:lumMod val="60000"/>
                    <a:lumOff val="40000"/>
                  </a:schemeClr>
                </a:fgClr>
                <a:bgClr>
                  <a:schemeClr val="bg2">
                    <a:lumMod val="25000"/>
                  </a:schemeClr>
                </a:bgClr>
              </a:pattFill>
              <a:ln>
                <a:noFill/>
              </a:ln>
              <a:effectLst/>
            </c:spPr>
            <c:extLst>
              <c:ext xmlns:c16="http://schemas.microsoft.com/office/drawing/2014/chart" uri="{C3380CC4-5D6E-409C-BE32-E72D297353CC}">
                <c16:uniqueId val="{00000002-32E6-4377-B81A-5C7F9CD420DC}"/>
              </c:ext>
            </c:extLst>
          </c:dPt>
          <c:cat>
            <c:strLit>
              <c:ptCount val="2"/>
              <c:pt idx="0">
                <c:v>baseline</c:v>
              </c:pt>
              <c:pt idx="1">
                <c:v>custom</c:v>
              </c:pt>
            </c:strLit>
          </c:cat>
          <c:val>
            <c:numRef>
              <c:f>('Results !'!$F$15,'Results !'!$H$15)</c:f>
              <c:numCache>
                <c:formatCode>_-* #,##0_-;\-* #,##0_-;_-* "-"??_-;_-@_-</c:formatCode>
                <c:ptCount val="2"/>
                <c:pt idx="0">
                  <c:v>#N/A</c:v>
                </c:pt>
                <c:pt idx="1">
                  <c:v>#N/A</c:v>
                </c:pt>
              </c:numCache>
            </c:numRef>
          </c:val>
          <c:extLst>
            <c:ext xmlns:c16="http://schemas.microsoft.com/office/drawing/2014/chart" uri="{C3380CC4-5D6E-409C-BE32-E72D297353CC}">
              <c16:uniqueId val="{00000000-32E6-4377-B81A-5C7F9CD420DC}"/>
            </c:ext>
          </c:extLst>
        </c:ser>
        <c:ser>
          <c:idx val="1"/>
          <c:order val="1"/>
          <c:tx>
            <c:strRef>
              <c:f>'Results !'!$D$19</c:f>
              <c:strCache>
                <c:ptCount val="1"/>
                <c:pt idx="0">
                  <c:v>Carbon costs [kg CO2 eq]</c:v>
                </c:pt>
              </c:strCache>
            </c:strRef>
          </c:tx>
          <c:spPr>
            <a:solidFill>
              <a:schemeClr val="accent6">
                <a:lumMod val="50000"/>
              </a:schemeClr>
            </a:solidFill>
            <a:ln>
              <a:noFill/>
            </a:ln>
            <a:effectLst/>
          </c:spPr>
          <c:invertIfNegative val="0"/>
          <c:dPt>
            <c:idx val="1"/>
            <c:invertIfNegative val="0"/>
            <c:bubble3D val="0"/>
            <c:spPr>
              <a:pattFill prst="pct90">
                <a:fgClr>
                  <a:schemeClr val="accent6">
                    <a:lumMod val="50000"/>
                  </a:schemeClr>
                </a:fgClr>
                <a:bgClr>
                  <a:schemeClr val="bg1"/>
                </a:bgClr>
              </a:pattFill>
              <a:ln>
                <a:noFill/>
              </a:ln>
              <a:effectLst/>
            </c:spPr>
            <c:extLst>
              <c:ext xmlns:c16="http://schemas.microsoft.com/office/drawing/2014/chart" uri="{C3380CC4-5D6E-409C-BE32-E72D297353CC}">
                <c16:uniqueId val="{00000003-32E6-4377-B81A-5C7F9CD420DC}"/>
              </c:ext>
            </c:extLst>
          </c:dPt>
          <c:cat>
            <c:strLit>
              <c:ptCount val="2"/>
              <c:pt idx="0">
                <c:v>baseline</c:v>
              </c:pt>
              <c:pt idx="1">
                <c:v>custom</c:v>
              </c:pt>
            </c:strLit>
          </c:cat>
          <c:val>
            <c:numRef>
              <c:f>('Results !'!$F$19,'Results !'!$H$19)</c:f>
              <c:numCache>
                <c:formatCode>_-* #,##0_-;\-* #,##0_-;_-* "-"??_-;_-@_-</c:formatCode>
                <c:ptCount val="2"/>
                <c:pt idx="0">
                  <c:v>#N/A</c:v>
                </c:pt>
                <c:pt idx="1">
                  <c:v>#N/A</c:v>
                </c:pt>
              </c:numCache>
            </c:numRef>
          </c:val>
          <c:extLst>
            <c:ext xmlns:c16="http://schemas.microsoft.com/office/drawing/2014/chart" uri="{C3380CC4-5D6E-409C-BE32-E72D297353CC}">
              <c16:uniqueId val="{00000001-32E6-4377-B81A-5C7F9CD420DC}"/>
            </c:ext>
          </c:extLst>
        </c:ser>
        <c:dLbls>
          <c:showLegendKey val="0"/>
          <c:showVal val="0"/>
          <c:showCatName val="0"/>
          <c:showSerName val="0"/>
          <c:showPercent val="0"/>
          <c:showBubbleSize val="0"/>
        </c:dLbls>
        <c:gapWidth val="177"/>
        <c:overlap val="-27"/>
        <c:axId val="1701452104"/>
        <c:axId val="1701456696"/>
      </c:barChart>
      <c:catAx>
        <c:axId val="170145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1456696"/>
        <c:crosses val="autoZero"/>
        <c:auto val="1"/>
        <c:lblAlgn val="ctr"/>
        <c:lblOffset val="100"/>
        <c:noMultiLvlLbl val="0"/>
      </c:catAx>
      <c:valAx>
        <c:axId val="1701456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[kg CO2 eq]</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1452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12.jpeg"/><Relationship Id="rId7" Type="http://schemas.openxmlformats.org/officeDocument/2006/relationships/chart" Target="../charts/chart2.xml"/><Relationship Id="rId2" Type="http://schemas.openxmlformats.org/officeDocument/2006/relationships/image" Target="../media/image11.jpeg"/><Relationship Id="rId1" Type="http://schemas.openxmlformats.org/officeDocument/2006/relationships/chart" Target="../charts/chart1.xml"/><Relationship Id="rId6" Type="http://schemas.microsoft.com/office/2007/relationships/hdphoto" Target="../media/hdphoto1.wdp"/><Relationship Id="rId11" Type="http://schemas.microsoft.com/office/2007/relationships/hdphoto" Target="../media/hdphoto2.wdp"/><Relationship Id="rId5" Type="http://schemas.openxmlformats.org/officeDocument/2006/relationships/image" Target="../media/image14.png"/><Relationship Id="rId10" Type="http://schemas.openxmlformats.org/officeDocument/2006/relationships/image" Target="../media/image15.png"/><Relationship Id="rId4" Type="http://schemas.openxmlformats.org/officeDocument/2006/relationships/image" Target="../media/image13.png"/><Relationship Id="rId9"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220980</xdr:colOff>
      <xdr:row>19</xdr:row>
      <xdr:rowOff>7620</xdr:rowOff>
    </xdr:from>
    <xdr:to>
      <xdr:col>3</xdr:col>
      <xdr:colOff>2811780</xdr:colOff>
      <xdr:row>21</xdr:row>
      <xdr:rowOff>133412</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833" r="22500"/>
        <a:stretch/>
      </xdr:blipFill>
      <xdr:spPr>
        <a:xfrm>
          <a:off x="716280" y="5448300"/>
          <a:ext cx="2895600" cy="803972"/>
        </a:xfrm>
        <a:prstGeom prst="rect">
          <a:avLst/>
        </a:prstGeom>
      </xdr:spPr>
    </xdr:pic>
    <xdr:clientData/>
  </xdr:twoCellAnchor>
  <xdr:twoCellAnchor editAs="oneCell">
    <xdr:from>
      <xdr:col>2</xdr:col>
      <xdr:colOff>563880</xdr:colOff>
      <xdr:row>23</xdr:row>
      <xdr:rowOff>111260</xdr:rowOff>
    </xdr:from>
    <xdr:to>
      <xdr:col>3</xdr:col>
      <xdr:colOff>8991600</xdr:colOff>
      <xdr:row>24</xdr:row>
      <xdr:rowOff>1251496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 y="6192020"/>
          <a:ext cx="8991600" cy="1323116"/>
        </a:xfrm>
        <a:prstGeom prst="rect">
          <a:avLst/>
        </a:prstGeom>
      </xdr:spPr>
    </xdr:pic>
    <xdr:clientData/>
  </xdr:twoCellAnchor>
  <xdr:twoCellAnchor editAs="oneCell">
    <xdr:from>
      <xdr:col>3</xdr:col>
      <xdr:colOff>3048000</xdr:colOff>
      <xdr:row>19</xdr:row>
      <xdr:rowOff>37292</xdr:rowOff>
    </xdr:from>
    <xdr:to>
      <xdr:col>3</xdr:col>
      <xdr:colOff>5295900</xdr:colOff>
      <xdr:row>21</xdr:row>
      <xdr:rowOff>114300</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48100" y="5203652"/>
          <a:ext cx="2247900" cy="755188"/>
        </a:xfrm>
        <a:prstGeom prst="rect">
          <a:avLst/>
        </a:prstGeom>
      </xdr:spPr>
    </xdr:pic>
    <xdr:clientData/>
  </xdr:twoCellAnchor>
  <xdr:twoCellAnchor editAs="oneCell">
    <xdr:from>
      <xdr:col>3</xdr:col>
      <xdr:colOff>5461140</xdr:colOff>
      <xdr:row>18</xdr:row>
      <xdr:rowOff>293387</xdr:rowOff>
    </xdr:from>
    <xdr:to>
      <xdr:col>3</xdr:col>
      <xdr:colOff>8252460</xdr:colOff>
      <xdr:row>21</xdr:row>
      <xdr:rowOff>309780</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261240" y="5650247"/>
          <a:ext cx="2791320" cy="1045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259081</xdr:colOff>
      <xdr:row>8</xdr:row>
      <xdr:rowOff>106680</xdr:rowOff>
    </xdr:from>
    <xdr:to>
      <xdr:col>4</xdr:col>
      <xdr:colOff>2705100</xdr:colOff>
      <xdr:row>15</xdr:row>
      <xdr:rowOff>30480</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78" b="17509"/>
        <a:stretch/>
      </xdr:blipFill>
      <xdr:spPr>
        <a:xfrm>
          <a:off x="868681" y="1866900"/>
          <a:ext cx="3352799" cy="1569720"/>
        </a:xfrm>
        <a:prstGeom prst="rect">
          <a:avLst/>
        </a:prstGeom>
      </xdr:spPr>
    </xdr:pic>
    <xdr:clientData/>
  </xdr:twoCellAnchor>
  <xdr:twoCellAnchor editAs="oneCell">
    <xdr:from>
      <xdr:col>2</xdr:col>
      <xdr:colOff>160020</xdr:colOff>
      <xdr:row>17</xdr:row>
      <xdr:rowOff>167640</xdr:rowOff>
    </xdr:from>
    <xdr:to>
      <xdr:col>4</xdr:col>
      <xdr:colOff>2785475</xdr:colOff>
      <xdr:row>23</xdr:row>
      <xdr:rowOff>106680</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5328"/>
        <a:stretch/>
      </xdr:blipFill>
      <xdr:spPr>
        <a:xfrm>
          <a:off x="769620" y="4023360"/>
          <a:ext cx="3532235" cy="1760220"/>
        </a:xfrm>
        <a:prstGeom prst="rect">
          <a:avLst/>
        </a:prstGeom>
      </xdr:spPr>
    </xdr:pic>
    <xdr:clientData/>
  </xdr:twoCellAnchor>
  <xdr:twoCellAnchor editAs="oneCell">
    <xdr:from>
      <xdr:col>3</xdr:col>
      <xdr:colOff>167640</xdr:colOff>
      <xdr:row>25</xdr:row>
      <xdr:rowOff>327660</xdr:rowOff>
    </xdr:from>
    <xdr:to>
      <xdr:col>4</xdr:col>
      <xdr:colOff>2560320</xdr:colOff>
      <xdr:row>25</xdr:row>
      <xdr:rowOff>2979420</xdr:rowOff>
    </xdr:to>
    <xdr:pic>
      <xdr:nvPicPr>
        <xdr:cNvPr id="5" name="Picture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6091" b="5584"/>
        <a:stretch/>
      </xdr:blipFill>
      <xdr:spPr>
        <a:xfrm>
          <a:off x="960120" y="6416040"/>
          <a:ext cx="3002280" cy="2651760"/>
        </a:xfrm>
        <a:prstGeom prst="rect">
          <a:avLst/>
        </a:prstGeom>
      </xdr:spPr>
    </xdr:pic>
    <xdr:clientData/>
  </xdr:twoCellAnchor>
  <xdr:twoCellAnchor>
    <xdr:from>
      <xdr:col>3</xdr:col>
      <xdr:colOff>388620</xdr:colOff>
      <xdr:row>14</xdr:row>
      <xdr:rowOff>106680</xdr:rowOff>
    </xdr:from>
    <xdr:to>
      <xdr:col>4</xdr:col>
      <xdr:colOff>152400</xdr:colOff>
      <xdr:row>15</xdr:row>
      <xdr:rowOff>30480</xdr:rowOff>
    </xdr:to>
    <xdr:sp macro="" textlink="">
      <xdr:nvSpPr>
        <xdr:cNvPr id="6" name="TextBox 5"/>
        <xdr:cNvSpPr txBox="1"/>
      </xdr:nvSpPr>
      <xdr:spPr>
        <a:xfrm>
          <a:off x="1181100" y="3147060"/>
          <a:ext cx="3733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[1]</a:t>
          </a:r>
        </a:p>
      </xdr:txBody>
    </xdr:sp>
    <xdr:clientData/>
  </xdr:twoCellAnchor>
  <xdr:twoCellAnchor>
    <xdr:from>
      <xdr:col>4</xdr:col>
      <xdr:colOff>2110740</xdr:colOff>
      <xdr:row>22</xdr:row>
      <xdr:rowOff>411480</xdr:rowOff>
    </xdr:from>
    <xdr:to>
      <xdr:col>4</xdr:col>
      <xdr:colOff>2484120</xdr:colOff>
      <xdr:row>23</xdr:row>
      <xdr:rowOff>144780</xdr:rowOff>
    </xdr:to>
    <xdr:sp macro="" textlink="">
      <xdr:nvSpPr>
        <xdr:cNvPr id="7" name="TextBox 6"/>
        <xdr:cNvSpPr txBox="1"/>
      </xdr:nvSpPr>
      <xdr:spPr>
        <a:xfrm>
          <a:off x="3512820" y="5532120"/>
          <a:ext cx="3733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[2]</a:t>
          </a:r>
        </a:p>
      </xdr:txBody>
    </xdr:sp>
    <xdr:clientData/>
  </xdr:twoCellAnchor>
  <xdr:twoCellAnchor>
    <xdr:from>
      <xdr:col>4</xdr:col>
      <xdr:colOff>1844040</xdr:colOff>
      <xdr:row>25</xdr:row>
      <xdr:rowOff>2583180</xdr:rowOff>
    </xdr:from>
    <xdr:to>
      <xdr:col>4</xdr:col>
      <xdr:colOff>2217420</xdr:colOff>
      <xdr:row>25</xdr:row>
      <xdr:rowOff>2872740</xdr:rowOff>
    </xdr:to>
    <xdr:sp macro="" textlink="">
      <xdr:nvSpPr>
        <xdr:cNvPr id="8" name="TextBox 7"/>
        <xdr:cNvSpPr txBox="1"/>
      </xdr:nvSpPr>
      <xdr:spPr>
        <a:xfrm>
          <a:off x="3246120" y="8671560"/>
          <a:ext cx="3733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190807</xdr:colOff>
      <xdr:row>5</xdr:row>
      <xdr:rowOff>1104055</xdr:rowOff>
    </xdr:from>
    <xdr:to>
      <xdr:col>8</xdr:col>
      <xdr:colOff>194733</xdr:colOff>
      <xdr:row>5</xdr:row>
      <xdr:rowOff>2048934</xdr:rowOff>
    </xdr:to>
    <xdr:cxnSp macro="">
      <xdr:nvCxnSpPr>
        <xdr:cNvPr id="14" name="Straight Arrow Connector 13"/>
        <xdr:cNvCxnSpPr/>
      </xdr:nvCxnSpPr>
      <xdr:spPr>
        <a:xfrm>
          <a:off x="9267074" y="2162388"/>
          <a:ext cx="3926" cy="944879"/>
        </a:xfrm>
        <a:prstGeom prst="straightConnector1">
          <a:avLst/>
        </a:prstGeom>
        <a:ln w="38100">
          <a:solidFill>
            <a:srgbClr val="C0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338964</xdr:colOff>
      <xdr:row>5</xdr:row>
      <xdr:rowOff>1354280</xdr:rowOff>
    </xdr:from>
    <xdr:to>
      <xdr:col>10</xdr:col>
      <xdr:colOff>92242</xdr:colOff>
      <xdr:row>6</xdr:row>
      <xdr:rowOff>71549</xdr:rowOff>
    </xdr:to>
    <xdr:sp macro="" textlink="">
      <xdr:nvSpPr>
        <xdr:cNvPr id="15" name="TextBox 21"/>
        <xdr:cNvSpPr txBox="1"/>
      </xdr:nvSpPr>
      <xdr:spPr>
        <a:xfrm>
          <a:off x="8805631" y="2412613"/>
          <a:ext cx="1599011" cy="317469"/>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200"/>
            <a:t>warm drain water</a:t>
          </a:r>
        </a:p>
      </xdr:txBody>
    </xdr:sp>
    <xdr:clientData/>
  </xdr:twoCellAnchor>
  <xdr:twoCellAnchor>
    <xdr:from>
      <xdr:col>11</xdr:col>
      <xdr:colOff>550333</xdr:colOff>
      <xdr:row>5</xdr:row>
      <xdr:rowOff>1113991</xdr:rowOff>
    </xdr:from>
    <xdr:to>
      <xdr:col>11</xdr:col>
      <xdr:colOff>557592</xdr:colOff>
      <xdr:row>5</xdr:row>
      <xdr:rowOff>2023534</xdr:rowOff>
    </xdr:to>
    <xdr:cxnSp macro="">
      <xdr:nvCxnSpPr>
        <xdr:cNvPr id="7" name="Straight Arrow Connector 6"/>
        <xdr:cNvCxnSpPr/>
      </xdr:nvCxnSpPr>
      <xdr:spPr>
        <a:xfrm flipV="1">
          <a:off x="11472333" y="2172324"/>
          <a:ext cx="7259" cy="909543"/>
        </a:xfrm>
        <a:prstGeom prst="straightConnector1">
          <a:avLst/>
        </a:prstGeom>
        <a:ln w="38100">
          <a:solidFill>
            <a:srgbClr val="C0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7</xdr:col>
      <xdr:colOff>266701</xdr:colOff>
      <xdr:row>3</xdr:row>
      <xdr:rowOff>68580</xdr:rowOff>
    </xdr:from>
    <xdr:to>
      <xdr:col>12</xdr:col>
      <xdr:colOff>342901</xdr:colOff>
      <xdr:row>5</xdr:row>
      <xdr:rowOff>1097280</xdr:rowOff>
    </xdr:to>
    <xdr:pic>
      <xdr:nvPicPr>
        <xdr:cNvPr id="21" name="Picture 2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63" t="17069" r="2500" b="17509"/>
        <a:stretch/>
      </xdr:blipFill>
      <xdr:spPr>
        <a:xfrm>
          <a:off x="8740141" y="655320"/>
          <a:ext cx="3139440" cy="1485900"/>
        </a:xfrm>
        <a:prstGeom prst="rect">
          <a:avLst/>
        </a:prstGeom>
      </xdr:spPr>
    </xdr:pic>
    <xdr:clientData/>
  </xdr:twoCellAnchor>
  <xdr:twoCellAnchor>
    <xdr:from>
      <xdr:col>7</xdr:col>
      <xdr:colOff>350520</xdr:colOff>
      <xdr:row>5</xdr:row>
      <xdr:rowOff>815340</xdr:rowOff>
    </xdr:from>
    <xdr:to>
      <xdr:col>8</xdr:col>
      <xdr:colOff>114300</xdr:colOff>
      <xdr:row>5</xdr:row>
      <xdr:rowOff>1104900</xdr:rowOff>
    </xdr:to>
    <xdr:sp macro="" textlink="">
      <xdr:nvSpPr>
        <xdr:cNvPr id="34" name="TextBox 33"/>
        <xdr:cNvSpPr txBox="1"/>
      </xdr:nvSpPr>
      <xdr:spPr>
        <a:xfrm>
          <a:off x="8823960" y="1882140"/>
          <a:ext cx="3733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[1]</a:t>
          </a:r>
        </a:p>
      </xdr:txBody>
    </xdr:sp>
    <xdr:clientData/>
  </xdr:twoCellAnchor>
  <xdr:twoCellAnchor>
    <xdr:from>
      <xdr:col>9</xdr:col>
      <xdr:colOff>335280</xdr:colOff>
      <xdr:row>19</xdr:row>
      <xdr:rowOff>10160</xdr:rowOff>
    </xdr:from>
    <xdr:to>
      <xdr:col>10</xdr:col>
      <xdr:colOff>287867</xdr:colOff>
      <xdr:row>19</xdr:row>
      <xdr:rowOff>389467</xdr:rowOff>
    </xdr:to>
    <xdr:sp macro="" textlink="">
      <xdr:nvSpPr>
        <xdr:cNvPr id="35" name="TextBox 34"/>
        <xdr:cNvSpPr txBox="1"/>
      </xdr:nvSpPr>
      <xdr:spPr>
        <a:xfrm>
          <a:off x="10038080" y="6859693"/>
          <a:ext cx="562187" cy="37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[4]</a:t>
          </a:r>
        </a:p>
      </xdr:txBody>
    </xdr:sp>
    <xdr:clientData/>
  </xdr:twoCellAnchor>
  <xdr:twoCellAnchor>
    <xdr:from>
      <xdr:col>6</xdr:col>
      <xdr:colOff>296544</xdr:colOff>
      <xdr:row>6</xdr:row>
      <xdr:rowOff>48282</xdr:rowOff>
    </xdr:from>
    <xdr:to>
      <xdr:col>12</xdr:col>
      <xdr:colOff>386772</xdr:colOff>
      <xdr:row>20</xdr:row>
      <xdr:rowOff>83919</xdr:rowOff>
    </xdr:to>
    <xdr:grpSp>
      <xdr:nvGrpSpPr>
        <xdr:cNvPr id="3" name="Group 2"/>
        <xdr:cNvGrpSpPr/>
      </xdr:nvGrpSpPr>
      <xdr:grpSpPr>
        <a:xfrm>
          <a:off x="8153611" y="3248682"/>
          <a:ext cx="3764761" cy="4522970"/>
          <a:chOff x="8136678" y="2656015"/>
          <a:chExt cx="3764761" cy="4438304"/>
        </a:xfrm>
      </xdr:grpSpPr>
      <xdr:sp macro="" textlink="">
        <xdr:nvSpPr>
          <xdr:cNvPr id="32" name="TextBox 21"/>
          <xdr:cNvSpPr txBox="1"/>
        </xdr:nvSpPr>
        <xdr:spPr>
          <a:xfrm>
            <a:off x="8877300" y="5024122"/>
            <a:ext cx="1599871" cy="48101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200"/>
              <a:t>to the drain</a:t>
            </a:r>
          </a:p>
        </xdr:txBody>
      </xdr:sp>
      <xdr:grpSp>
        <xdr:nvGrpSpPr>
          <xdr:cNvPr id="2" name="Group 1"/>
          <xdr:cNvGrpSpPr/>
        </xdr:nvGrpSpPr>
        <xdr:grpSpPr>
          <a:xfrm>
            <a:off x="8136678" y="2656015"/>
            <a:ext cx="3764761" cy="4438304"/>
            <a:chOff x="8136678" y="2656015"/>
            <a:chExt cx="3764761" cy="4438304"/>
          </a:xfrm>
        </xdr:grpSpPr>
        <xdr:pic>
          <xdr:nvPicPr>
            <xdr:cNvPr id="36" name="Picture 3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2620" t="28956" r="29044" b="29882"/>
            <a:stretch/>
          </xdr:blipFill>
          <xdr:spPr>
            <a:xfrm>
              <a:off x="9000067" y="2660227"/>
              <a:ext cx="2045608" cy="2465494"/>
            </a:xfrm>
            <a:prstGeom prst="rect">
              <a:avLst/>
            </a:prstGeom>
          </xdr:spPr>
        </xdr:pic>
        <xdr:sp macro="" textlink="">
          <xdr:nvSpPr>
            <xdr:cNvPr id="10" name="Rectangle 9"/>
            <xdr:cNvSpPr/>
          </xdr:nvSpPr>
          <xdr:spPr>
            <a:xfrm>
              <a:off x="11039930" y="2726336"/>
              <a:ext cx="861509" cy="387498"/>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GB" sz="1100" i="1">
                  <a:solidFill>
                    <a:schemeClr val="tx1"/>
                  </a:solidFill>
                </a:rPr>
                <a:t>boiler</a:t>
              </a:r>
            </a:p>
          </xdr:txBody>
        </xdr:sp>
        <xdr:sp macro="" textlink="">
          <xdr:nvSpPr>
            <xdr:cNvPr id="13" name="TextBox 16"/>
            <xdr:cNvSpPr txBox="1"/>
          </xdr:nvSpPr>
          <xdr:spPr>
            <a:xfrm>
              <a:off x="10026017" y="4817646"/>
              <a:ext cx="1360097" cy="404847"/>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200"/>
                <a:t>cold water supply</a:t>
              </a:r>
            </a:p>
          </xdr:txBody>
        </xdr:sp>
        <xdr:sp macro="" textlink="">
          <xdr:nvSpPr>
            <xdr:cNvPr id="16" name="TextBox 16"/>
            <xdr:cNvSpPr txBox="1"/>
          </xdr:nvSpPr>
          <xdr:spPr>
            <a:xfrm>
              <a:off x="9660807" y="2656015"/>
              <a:ext cx="1337712" cy="24200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200"/>
                <a:t>prewarmed water</a:t>
              </a:r>
            </a:p>
          </xdr:txBody>
        </xdr:sp>
        <xdr:sp macro="" textlink="">
          <xdr:nvSpPr>
            <xdr:cNvPr id="17" name="TextBox 16"/>
            <xdr:cNvSpPr txBox="1"/>
          </xdr:nvSpPr>
          <xdr:spPr>
            <a:xfrm rot="16200000">
              <a:off x="7793944" y="3492880"/>
              <a:ext cx="1942812" cy="29105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200" i="1"/>
                <a:t>heat exchanger (ca. 2 m)</a:t>
              </a:r>
            </a:p>
          </xdr:txBody>
        </xdr:sp>
        <xdr:pic>
          <xdr:nvPicPr>
            <xdr:cNvPr id="18" name="Picture 1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9579" t="5989" r="5775"/>
            <a:stretch/>
          </xdr:blipFill>
          <xdr:spPr>
            <a:xfrm>
              <a:off x="9012767" y="5283200"/>
              <a:ext cx="2424853" cy="1811119"/>
            </a:xfrm>
            <a:prstGeom prst="rect">
              <a:avLst/>
            </a:prstGeom>
          </xdr:spPr>
        </xdr:pic>
        <xdr:sp macro="" textlink="">
          <xdr:nvSpPr>
            <xdr:cNvPr id="31" name="Arc 30"/>
            <xdr:cNvSpPr/>
          </xdr:nvSpPr>
          <xdr:spPr>
            <a:xfrm rot="16799530" flipV="1">
              <a:off x="7764385" y="4352482"/>
              <a:ext cx="3035863" cy="2291278"/>
            </a:xfrm>
            <a:prstGeom prst="arc">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xnSp macro="">
          <xdr:nvCxnSpPr>
            <xdr:cNvPr id="38" name="Straight Arrow Connector 37"/>
            <xdr:cNvCxnSpPr/>
          </xdr:nvCxnSpPr>
          <xdr:spPr>
            <a:xfrm>
              <a:off x="8923867" y="2661920"/>
              <a:ext cx="0" cy="2231814"/>
            </a:xfrm>
            <a:prstGeom prst="straightConnector1">
              <a:avLst/>
            </a:prstGeom>
            <a:ln w="19050">
              <a:headEnd type="oval"/>
              <a:tailEnd type="oval"/>
            </a:ln>
          </xdr:spPr>
          <xdr:style>
            <a:lnRef idx="1">
              <a:schemeClr val="dk1"/>
            </a:lnRef>
            <a:fillRef idx="0">
              <a:schemeClr val="dk1"/>
            </a:fillRef>
            <a:effectRef idx="0">
              <a:schemeClr val="dk1"/>
            </a:effectRef>
            <a:fontRef idx="minor">
              <a:schemeClr val="tx1"/>
            </a:fontRef>
          </xdr:style>
        </xdr:cxnSp>
        <xdr:sp macro="" textlink="">
          <xdr:nvSpPr>
            <xdr:cNvPr id="39" name="TextBox 16"/>
            <xdr:cNvSpPr txBox="1"/>
          </xdr:nvSpPr>
          <xdr:spPr>
            <a:xfrm>
              <a:off x="10373150" y="3623845"/>
              <a:ext cx="1360097" cy="404849"/>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200"/>
                <a:t>pipework</a:t>
              </a:r>
            </a:p>
          </xdr:txBody>
        </xdr:sp>
        <xdr:cxnSp macro="">
          <xdr:nvCxnSpPr>
            <xdr:cNvPr id="41" name="Straight Connector 40"/>
            <xdr:cNvCxnSpPr/>
          </xdr:nvCxnSpPr>
          <xdr:spPr>
            <a:xfrm>
              <a:off x="10430933" y="2980266"/>
              <a:ext cx="211667" cy="6096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Straight Connector 41"/>
            <xdr:cNvCxnSpPr/>
          </xdr:nvCxnSpPr>
          <xdr:spPr>
            <a:xfrm flipH="1">
              <a:off x="10439400" y="3953933"/>
              <a:ext cx="194733" cy="651933"/>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9</xdr:col>
      <xdr:colOff>484293</xdr:colOff>
      <xdr:row>17</xdr:row>
      <xdr:rowOff>171873</xdr:rowOff>
    </xdr:from>
    <xdr:to>
      <xdr:col>10</xdr:col>
      <xdr:colOff>248073</xdr:colOff>
      <xdr:row>19</xdr:row>
      <xdr:rowOff>4233</xdr:rowOff>
    </xdr:to>
    <xdr:sp macro="" textlink="">
      <xdr:nvSpPr>
        <xdr:cNvPr id="22" name="TextBox 21"/>
        <xdr:cNvSpPr txBox="1"/>
      </xdr:nvSpPr>
      <xdr:spPr>
        <a:xfrm>
          <a:off x="10187093" y="6589606"/>
          <a:ext cx="3733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534092</xdr:colOff>
      <xdr:row>30</xdr:row>
      <xdr:rowOff>179416</xdr:rowOff>
    </xdr:from>
    <xdr:to>
      <xdr:col>18</xdr:col>
      <xdr:colOff>336818</xdr:colOff>
      <xdr:row>33</xdr:row>
      <xdr:rowOff>100138</xdr:rowOff>
    </xdr:to>
    <xdr:sp macro="" textlink="">
      <xdr:nvSpPr>
        <xdr:cNvPr id="2" name="HelpEnergy" hidden="1"/>
        <xdr:cNvSpPr/>
      </xdr:nvSpPr>
      <xdr:spPr>
        <a:xfrm>
          <a:off x="6812972" y="7174576"/>
          <a:ext cx="1456266" cy="492222"/>
        </a:xfrm>
        <a:prstGeom prst="wedgeRoundRectCallout">
          <a:avLst>
            <a:gd name="adj1" fmla="val -34197"/>
            <a:gd name="adj2" fmla="val 76786"/>
            <a:gd name="adj3" fmla="val 16667"/>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100" b="0">
              <a:solidFill>
                <a:sysClr val="windowText" lastClr="000000"/>
              </a:solidFill>
            </a:rPr>
            <a:t>Which</a:t>
          </a:r>
          <a:r>
            <a:rPr lang="en-GB" sz="1100" b="0" baseline="0">
              <a:solidFill>
                <a:sysClr val="windowText" lastClr="000000"/>
              </a:solidFill>
            </a:rPr>
            <a:t> energy are you currently using?</a:t>
          </a:r>
          <a:endParaRPr lang="en-GB" sz="1100" b="0">
            <a:solidFill>
              <a:sysClr val="windowText" lastClr="000000"/>
            </a:solidFill>
          </a:endParaRPr>
        </a:p>
      </xdr:txBody>
    </xdr:sp>
    <xdr:clientData/>
  </xdr:twoCellAnchor>
  <xdr:twoCellAnchor>
    <xdr:from>
      <xdr:col>13</xdr:col>
      <xdr:colOff>684182</xdr:colOff>
      <xdr:row>36</xdr:row>
      <xdr:rowOff>22860</xdr:rowOff>
    </xdr:from>
    <xdr:to>
      <xdr:col>17</xdr:col>
      <xdr:colOff>358140</xdr:colOff>
      <xdr:row>40</xdr:row>
      <xdr:rowOff>7620</xdr:rowOff>
    </xdr:to>
    <xdr:sp macro="" textlink="">
      <xdr:nvSpPr>
        <xdr:cNvPr id="3" name="HelpDist" hidden="1"/>
        <xdr:cNvSpPr/>
      </xdr:nvSpPr>
      <xdr:spPr>
        <a:xfrm>
          <a:off x="6963062" y="8168640"/>
          <a:ext cx="2043778" cy="594360"/>
        </a:xfrm>
        <a:prstGeom prst="wedgeRoundRectCallout">
          <a:avLst>
            <a:gd name="adj1" fmla="val -61062"/>
            <a:gd name="adj2" fmla="val 29932"/>
            <a:gd name="adj3" fmla="val 16667"/>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100" b="0">
              <a:solidFill>
                <a:sysClr val="windowText" lastClr="000000"/>
              </a:solidFill>
            </a:rPr>
            <a:t>We use this to estimate the material requirements</a:t>
          </a:r>
        </a:p>
      </xdr:txBody>
    </xdr:sp>
    <xdr:clientData/>
  </xdr:twoCellAnchor>
  <xdr:twoCellAnchor>
    <xdr:from>
      <xdr:col>15</xdr:col>
      <xdr:colOff>600517</xdr:colOff>
      <xdr:row>49</xdr:row>
      <xdr:rowOff>66502</xdr:rowOff>
    </xdr:from>
    <xdr:to>
      <xdr:col>18</xdr:col>
      <xdr:colOff>304800</xdr:colOff>
      <xdr:row>51</xdr:row>
      <xdr:rowOff>4157</xdr:rowOff>
    </xdr:to>
    <xdr:sp macro="" textlink="">
      <xdr:nvSpPr>
        <xdr:cNvPr id="4" name="HelpMat" hidden="1"/>
        <xdr:cNvSpPr/>
      </xdr:nvSpPr>
      <xdr:spPr>
        <a:xfrm>
          <a:off x="7809037" y="10010602"/>
          <a:ext cx="2249363" cy="349135"/>
        </a:xfrm>
        <a:prstGeom prst="wedgeRoundRectCallout">
          <a:avLst>
            <a:gd name="adj1" fmla="val -55974"/>
            <a:gd name="adj2" fmla="val 26701"/>
            <a:gd name="adj3" fmla="val 16667"/>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100" b="0">
              <a:solidFill>
                <a:sysClr val="windowText" lastClr="000000"/>
              </a:solidFill>
            </a:rPr>
            <a:t>Choose the material you prefer.</a:t>
          </a:r>
        </a:p>
      </xdr:txBody>
    </xdr:sp>
    <xdr:clientData/>
  </xdr:twoCellAnchor>
  <xdr:twoCellAnchor>
    <xdr:from>
      <xdr:col>10</xdr:col>
      <xdr:colOff>809028</xdr:colOff>
      <xdr:row>35</xdr:row>
      <xdr:rowOff>100832</xdr:rowOff>
    </xdr:from>
    <xdr:to>
      <xdr:col>15</xdr:col>
      <xdr:colOff>236220</xdr:colOff>
      <xdr:row>36</xdr:row>
      <xdr:rowOff>166255</xdr:rowOff>
    </xdr:to>
    <xdr:sp macro="" textlink="">
      <xdr:nvSpPr>
        <xdr:cNvPr id="5" name="HelpPrice" hidden="1"/>
        <xdr:cNvSpPr/>
      </xdr:nvSpPr>
      <xdr:spPr>
        <a:xfrm>
          <a:off x="3902748" y="8063732"/>
          <a:ext cx="1972272" cy="248303"/>
        </a:xfrm>
        <a:prstGeom prst="wedgeRoundRectCallout">
          <a:avLst>
            <a:gd name="adj1" fmla="val 24875"/>
            <a:gd name="adj2" fmla="val -79757"/>
            <a:gd name="adj3" fmla="val 16667"/>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100" b="0">
              <a:solidFill>
                <a:sysClr val="windowText" lastClr="000000"/>
              </a:solidFill>
            </a:rPr>
            <a:t>your current unit energy price</a:t>
          </a:r>
        </a:p>
      </xdr:txBody>
    </xdr:sp>
    <xdr:clientData/>
  </xdr:twoCellAnchor>
  <xdr:twoCellAnchor>
    <xdr:from>
      <xdr:col>17</xdr:col>
      <xdr:colOff>25400</xdr:colOff>
      <xdr:row>7</xdr:row>
      <xdr:rowOff>7620</xdr:rowOff>
    </xdr:from>
    <xdr:to>
      <xdr:col>18</xdr:col>
      <xdr:colOff>259773</xdr:colOff>
      <xdr:row>9</xdr:row>
      <xdr:rowOff>54188</xdr:rowOff>
    </xdr:to>
    <xdr:sp macro="" textlink="">
      <xdr:nvSpPr>
        <xdr:cNvPr id="6" name="HelpMeal1" hidden="1"/>
        <xdr:cNvSpPr/>
      </xdr:nvSpPr>
      <xdr:spPr>
        <a:xfrm>
          <a:off x="8674100" y="1356360"/>
          <a:ext cx="1339273" cy="511388"/>
        </a:xfrm>
        <a:prstGeom prst="wedgeRoundRectCallout">
          <a:avLst>
            <a:gd name="adj1" fmla="val -34197"/>
            <a:gd name="adj2" fmla="val 76786"/>
            <a:gd name="adj3" fmla="val 16667"/>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100" b="0">
              <a:solidFill>
                <a:sysClr val="windowText" lastClr="000000"/>
              </a:solidFill>
            </a:rPr>
            <a:t>Usually between</a:t>
          </a:r>
        </a:p>
        <a:p>
          <a:pPr algn="ctr"/>
          <a:r>
            <a:rPr lang="en-GB" sz="1100" b="0">
              <a:solidFill>
                <a:sysClr val="windowText" lastClr="000000"/>
              </a:solidFill>
            </a:rPr>
            <a:t>5,000 and 100,000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1286932</xdr:colOff>
      <xdr:row>1</xdr:row>
      <xdr:rowOff>0</xdr:rowOff>
    </xdr:from>
    <xdr:to>
      <xdr:col>8</xdr:col>
      <xdr:colOff>271780</xdr:colOff>
      <xdr:row>5</xdr:row>
      <xdr:rowOff>296333</xdr:rowOff>
    </xdr:to>
    <xdr:sp macro="" textlink="">
      <xdr:nvSpPr>
        <xdr:cNvPr id="4" name="Rectangle 3"/>
        <xdr:cNvSpPr/>
      </xdr:nvSpPr>
      <xdr:spPr>
        <a:xfrm>
          <a:off x="1981199" y="270933"/>
          <a:ext cx="3827781" cy="1202267"/>
        </a:xfrm>
        <a:prstGeom prst="rect">
          <a:avLst/>
        </a:prstGeom>
        <a:noFill/>
        <a:ln w="10160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67734</xdr:colOff>
      <xdr:row>33</xdr:row>
      <xdr:rowOff>1</xdr:rowOff>
    </xdr:from>
    <xdr:to>
      <xdr:col>12</xdr:col>
      <xdr:colOff>143933</xdr:colOff>
      <xdr:row>65</xdr:row>
      <xdr:rowOff>160867</xdr:rowOff>
    </xdr:to>
    <xdr:sp macro="" textlink="">
      <xdr:nvSpPr>
        <xdr:cNvPr id="5" name="Rectangle 4"/>
        <xdr:cNvSpPr/>
      </xdr:nvSpPr>
      <xdr:spPr>
        <a:xfrm>
          <a:off x="7916334" y="8856134"/>
          <a:ext cx="7484532" cy="7272866"/>
        </a:xfrm>
        <a:prstGeom prst="rect">
          <a:avLst/>
        </a:prstGeom>
        <a:noFill/>
        <a:ln w="1270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42334</xdr:colOff>
      <xdr:row>50</xdr:row>
      <xdr:rowOff>160865</xdr:rowOff>
    </xdr:from>
    <xdr:to>
      <xdr:col>23</xdr:col>
      <xdr:colOff>143933</xdr:colOff>
      <xdr:row>65</xdr:row>
      <xdr:rowOff>152399</xdr:rowOff>
    </xdr:to>
    <xdr:sp macro="" textlink="">
      <xdr:nvSpPr>
        <xdr:cNvPr id="6" name="Rectangle 5"/>
        <xdr:cNvSpPr/>
      </xdr:nvSpPr>
      <xdr:spPr>
        <a:xfrm>
          <a:off x="321734" y="13292665"/>
          <a:ext cx="7247466" cy="2827867"/>
        </a:xfrm>
        <a:prstGeom prst="rect">
          <a:avLst/>
        </a:prstGeom>
        <a:noFill/>
        <a:ln w="1270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2023533</xdr:colOff>
      <xdr:row>49</xdr:row>
      <xdr:rowOff>156634</xdr:rowOff>
    </xdr:from>
    <xdr:to>
      <xdr:col>10</xdr:col>
      <xdr:colOff>245534</xdr:colOff>
      <xdr:row>64</xdr:row>
      <xdr:rowOff>16934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148314</xdr:colOff>
      <xdr:row>24</xdr:row>
      <xdr:rowOff>62879</xdr:rowOff>
    </xdr:from>
    <xdr:to>
      <xdr:col>3</xdr:col>
      <xdr:colOff>2108199</xdr:colOff>
      <xdr:row>30</xdr:row>
      <xdr:rowOff>143935</xdr:rowOff>
    </xdr:to>
    <xdr:pic>
      <xdr:nvPicPr>
        <xdr:cNvPr id="10" name="Picture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911" t="8674" r="4422" b="9523"/>
        <a:stretch/>
      </xdr:blipFill>
      <xdr:spPr>
        <a:xfrm>
          <a:off x="842581" y="6438279"/>
          <a:ext cx="1959885" cy="1748989"/>
        </a:xfrm>
        <a:prstGeom prst="rect">
          <a:avLst/>
        </a:prstGeom>
      </xdr:spPr>
    </xdr:pic>
    <xdr:clientData/>
  </xdr:twoCellAnchor>
  <xdr:twoCellAnchor editAs="oneCell">
    <xdr:from>
      <xdr:col>15</xdr:col>
      <xdr:colOff>107745</xdr:colOff>
      <xdr:row>39</xdr:row>
      <xdr:rowOff>107372</xdr:rowOff>
    </xdr:from>
    <xdr:to>
      <xdr:col>16</xdr:col>
      <xdr:colOff>8467</xdr:colOff>
      <xdr:row>47</xdr:row>
      <xdr:rowOff>126151</xdr:rowOff>
    </xdr:to>
    <xdr:pic>
      <xdr:nvPicPr>
        <xdr:cNvPr id="14" name="Picture 1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149" t="6831" r="10833" b="5328"/>
        <a:stretch/>
      </xdr:blipFill>
      <xdr:spPr>
        <a:xfrm>
          <a:off x="8506678" y="11190239"/>
          <a:ext cx="2643922" cy="1508913"/>
        </a:xfrm>
        <a:prstGeom prst="snipRoundRect">
          <a:avLst>
            <a:gd name="adj1" fmla="val 50000"/>
            <a:gd name="adj2" fmla="val 29109"/>
          </a:avLst>
        </a:prstGeom>
      </xdr:spPr>
    </xdr:pic>
    <xdr:clientData/>
  </xdr:twoCellAnchor>
  <xdr:twoCellAnchor editAs="oneCell">
    <xdr:from>
      <xdr:col>15</xdr:col>
      <xdr:colOff>877901</xdr:colOff>
      <xdr:row>15</xdr:row>
      <xdr:rowOff>363963</xdr:rowOff>
    </xdr:from>
    <xdr:to>
      <xdr:col>15</xdr:col>
      <xdr:colOff>1879600</xdr:colOff>
      <xdr:row>21</xdr:row>
      <xdr:rowOff>42330</xdr:rowOff>
    </xdr:to>
    <xdr:pic>
      <xdr:nvPicPr>
        <xdr:cNvPr id="15" name="Picture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70568" y="3665963"/>
          <a:ext cx="1001699" cy="1380167"/>
        </a:xfrm>
        <a:prstGeom prst="rect">
          <a:avLst/>
        </a:prstGeom>
      </xdr:spPr>
    </xdr:pic>
    <xdr:clientData/>
  </xdr:twoCellAnchor>
  <xdr:twoCellAnchor>
    <xdr:from>
      <xdr:col>8</xdr:col>
      <xdr:colOff>465666</xdr:colOff>
      <xdr:row>0</xdr:row>
      <xdr:rowOff>220132</xdr:rowOff>
    </xdr:from>
    <xdr:to>
      <xdr:col>15</xdr:col>
      <xdr:colOff>643467</xdr:colOff>
      <xdr:row>6</xdr:row>
      <xdr:rowOff>8465</xdr:rowOff>
    </xdr:to>
    <xdr:sp macro="" textlink="">
      <xdr:nvSpPr>
        <xdr:cNvPr id="16" name="HelpKitchen"/>
        <xdr:cNvSpPr/>
      </xdr:nvSpPr>
      <xdr:spPr>
        <a:xfrm>
          <a:off x="6002866" y="220132"/>
          <a:ext cx="3039534" cy="1312333"/>
        </a:xfrm>
        <a:prstGeom prst="wedgeRoundRectCallout">
          <a:avLst>
            <a:gd name="adj1" fmla="val -66763"/>
            <a:gd name="adj2" fmla="val -10462"/>
            <a:gd name="adj3" fmla="val 16667"/>
          </a:avLst>
        </a:prstGeom>
        <a:solidFill>
          <a:schemeClr val="accent6">
            <a:lumMod val="40000"/>
            <a:lumOff val="6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GB" sz="1100" b="0">
              <a:solidFill>
                <a:sysClr val="windowText" lastClr="000000"/>
              </a:solidFill>
            </a:rPr>
            <a:t>We assume a service life of 10 years and plastic</a:t>
          </a:r>
          <a:r>
            <a:rPr lang="en-GB" sz="1100" b="0" baseline="0">
              <a:solidFill>
                <a:sysClr val="windowText" lastClr="000000"/>
              </a:solidFill>
            </a:rPr>
            <a:t> (</a:t>
          </a:r>
          <a:r>
            <a:rPr lang="en-GB" sz="1100" b="0">
              <a:solidFill>
                <a:sysClr val="windowText" lastClr="000000"/>
              </a:solidFill>
            </a:rPr>
            <a:t>polyethylene = PE) as material for the pipework. Do you want to see how much you can save after a different time or use different material for your pipes? Change it here</a:t>
          </a:r>
          <a:r>
            <a:rPr lang="en-GB" sz="1100" b="0" baseline="0">
              <a:solidFill>
                <a:sysClr val="windowText" lastClr="000000"/>
              </a:solidFill>
            </a:rPr>
            <a:t> and compare!</a:t>
          </a:r>
          <a:endParaRPr lang="en-GB" sz="1100" b="0">
            <a:solidFill>
              <a:sysClr val="windowText" lastClr="000000"/>
            </a:solidFill>
          </a:endParaRPr>
        </a:p>
      </xdr:txBody>
    </xdr:sp>
    <xdr:clientData/>
  </xdr:twoCellAnchor>
  <xdr:twoCellAnchor>
    <xdr:from>
      <xdr:col>8</xdr:col>
      <xdr:colOff>8468</xdr:colOff>
      <xdr:row>11</xdr:row>
      <xdr:rowOff>8467</xdr:rowOff>
    </xdr:from>
    <xdr:to>
      <xdr:col>9</xdr:col>
      <xdr:colOff>482600</xdr:colOff>
      <xdr:row>13</xdr:row>
      <xdr:rowOff>8468</xdr:rowOff>
    </xdr:to>
    <xdr:sp macro="" textlink="">
      <xdr:nvSpPr>
        <xdr:cNvPr id="18" name="Bent-Up Arrow 17"/>
        <xdr:cNvSpPr/>
      </xdr:nvSpPr>
      <xdr:spPr>
        <a:xfrm flipV="1">
          <a:off x="5545668" y="2370667"/>
          <a:ext cx="1244599" cy="736601"/>
        </a:xfrm>
        <a:prstGeom prst="bentUpArrow">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8</xdr:col>
      <xdr:colOff>516467</xdr:colOff>
      <xdr:row>10</xdr:row>
      <xdr:rowOff>42334</xdr:rowOff>
    </xdr:from>
    <xdr:to>
      <xdr:col>9</xdr:col>
      <xdr:colOff>744061</xdr:colOff>
      <xdr:row>12</xdr:row>
      <xdr:rowOff>170390</xdr:rowOff>
    </xdr:to>
    <xdr:pic>
      <xdr:nvPicPr>
        <xdr:cNvPr id="17" name="Picture 16"/>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saturation sat="33000"/>
                  </a14:imgEffect>
                </a14:imgLayer>
              </a14:imgProps>
            </a:ext>
            <a:ext uri="{28A0092B-C50C-407E-A947-70E740481C1C}">
              <a14:useLocalDpi xmlns:a14="http://schemas.microsoft.com/office/drawing/2010/main" val="0"/>
            </a:ext>
          </a:extLst>
        </a:blip>
        <a:stretch>
          <a:fillRect/>
        </a:stretch>
      </xdr:blipFill>
      <xdr:spPr>
        <a:xfrm>
          <a:off x="13622867" y="2218267"/>
          <a:ext cx="998061" cy="500590"/>
        </a:xfrm>
        <a:prstGeom prst="rect">
          <a:avLst/>
        </a:prstGeom>
      </xdr:spPr>
    </xdr:pic>
    <xdr:clientData/>
  </xdr:twoCellAnchor>
  <xdr:twoCellAnchor>
    <xdr:from>
      <xdr:col>15</xdr:col>
      <xdr:colOff>160866</xdr:colOff>
      <xdr:row>46</xdr:row>
      <xdr:rowOff>32173</xdr:rowOff>
    </xdr:from>
    <xdr:to>
      <xdr:col>15</xdr:col>
      <xdr:colOff>534246</xdr:colOff>
      <xdr:row>47</xdr:row>
      <xdr:rowOff>127001</xdr:rowOff>
    </xdr:to>
    <xdr:sp macro="" textlink="">
      <xdr:nvSpPr>
        <xdr:cNvPr id="19" name="TextBox 18"/>
        <xdr:cNvSpPr txBox="1"/>
      </xdr:nvSpPr>
      <xdr:spPr>
        <a:xfrm>
          <a:off x="753533" y="12427373"/>
          <a:ext cx="373380" cy="28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[2]</a:t>
          </a:r>
        </a:p>
      </xdr:txBody>
    </xdr:sp>
    <xdr:clientData/>
  </xdr:twoCellAnchor>
  <xdr:twoCellAnchor>
    <xdr:from>
      <xdr:col>3</xdr:col>
      <xdr:colOff>1667934</xdr:colOff>
      <xdr:row>29</xdr:row>
      <xdr:rowOff>67733</xdr:rowOff>
    </xdr:from>
    <xdr:to>
      <xdr:col>3</xdr:col>
      <xdr:colOff>2041314</xdr:colOff>
      <xdr:row>30</xdr:row>
      <xdr:rowOff>374227</xdr:rowOff>
    </xdr:to>
    <xdr:sp macro="" textlink="">
      <xdr:nvSpPr>
        <xdr:cNvPr id="20" name="TextBox 19"/>
        <xdr:cNvSpPr txBox="1"/>
      </xdr:nvSpPr>
      <xdr:spPr>
        <a:xfrm>
          <a:off x="2362201" y="7924800"/>
          <a:ext cx="373380" cy="492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[3]</a:t>
          </a:r>
        </a:p>
      </xdr:txBody>
    </xdr:sp>
    <xdr:clientData/>
  </xdr:twoCellAnchor>
  <xdr:twoCellAnchor>
    <xdr:from>
      <xdr:col>9</xdr:col>
      <xdr:colOff>127000</xdr:colOff>
      <xdr:row>11</xdr:row>
      <xdr:rowOff>8466</xdr:rowOff>
    </xdr:from>
    <xdr:to>
      <xdr:col>9</xdr:col>
      <xdr:colOff>500380</xdr:colOff>
      <xdr:row>12</xdr:row>
      <xdr:rowOff>94826</xdr:rowOff>
    </xdr:to>
    <xdr:sp macro="" textlink="">
      <xdr:nvSpPr>
        <xdr:cNvPr id="21" name="TextBox 20"/>
        <xdr:cNvSpPr txBox="1"/>
      </xdr:nvSpPr>
      <xdr:spPr>
        <a:xfrm>
          <a:off x="6434667" y="2370666"/>
          <a:ext cx="373380" cy="27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[5]</a:t>
          </a:r>
        </a:p>
      </xdr:txBody>
    </xdr:sp>
    <xdr:clientData/>
  </xdr:twoCellAnchor>
  <xdr:twoCellAnchor>
    <xdr:from>
      <xdr:col>16</xdr:col>
      <xdr:colOff>406399</xdr:colOff>
      <xdr:row>15</xdr:row>
      <xdr:rowOff>110067</xdr:rowOff>
    </xdr:from>
    <xdr:to>
      <xdr:col>21</xdr:col>
      <xdr:colOff>1092200</xdr:colOff>
      <xdr:row>22</xdr:row>
      <xdr:rowOff>42334</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42333</xdr:colOff>
      <xdr:row>7</xdr:row>
      <xdr:rowOff>42333</xdr:rowOff>
    </xdr:from>
    <xdr:to>
      <xdr:col>23</xdr:col>
      <xdr:colOff>143933</xdr:colOff>
      <xdr:row>22</xdr:row>
      <xdr:rowOff>381000</xdr:rowOff>
    </xdr:to>
    <xdr:sp macro="" textlink="">
      <xdr:nvSpPr>
        <xdr:cNvPr id="23" name="Rectangle 22"/>
        <xdr:cNvSpPr/>
      </xdr:nvSpPr>
      <xdr:spPr>
        <a:xfrm>
          <a:off x="321733" y="1752600"/>
          <a:ext cx="7247467" cy="3953933"/>
        </a:xfrm>
        <a:prstGeom prst="rect">
          <a:avLst/>
        </a:prstGeom>
        <a:noFill/>
        <a:ln w="1270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42333</xdr:colOff>
      <xdr:row>22</xdr:row>
      <xdr:rowOff>685800</xdr:rowOff>
    </xdr:from>
    <xdr:to>
      <xdr:col>23</xdr:col>
      <xdr:colOff>143933</xdr:colOff>
      <xdr:row>49</xdr:row>
      <xdr:rowOff>42332</xdr:rowOff>
    </xdr:to>
    <xdr:sp macro="" textlink="">
      <xdr:nvSpPr>
        <xdr:cNvPr id="25" name="Rectangle 24"/>
        <xdr:cNvSpPr/>
      </xdr:nvSpPr>
      <xdr:spPr>
        <a:xfrm>
          <a:off x="321733" y="6011333"/>
          <a:ext cx="7247467" cy="6917266"/>
        </a:xfrm>
        <a:prstGeom prst="rect">
          <a:avLst/>
        </a:prstGeom>
        <a:noFill/>
        <a:ln w="1270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67733</xdr:colOff>
      <xdr:row>7</xdr:row>
      <xdr:rowOff>59265</xdr:rowOff>
    </xdr:from>
    <xdr:to>
      <xdr:col>12</xdr:col>
      <xdr:colOff>135467</xdr:colOff>
      <xdr:row>31</xdr:row>
      <xdr:rowOff>67733</xdr:rowOff>
    </xdr:to>
    <xdr:sp macro="" textlink="">
      <xdr:nvSpPr>
        <xdr:cNvPr id="26" name="Rectangle 25"/>
        <xdr:cNvSpPr/>
      </xdr:nvSpPr>
      <xdr:spPr>
        <a:xfrm>
          <a:off x="7526866" y="1769532"/>
          <a:ext cx="7306734" cy="6722534"/>
        </a:xfrm>
        <a:prstGeom prst="rect">
          <a:avLst/>
        </a:prstGeom>
        <a:noFill/>
        <a:ln w="12700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440265</xdr:colOff>
      <xdr:row>37</xdr:row>
      <xdr:rowOff>59267</xdr:rowOff>
    </xdr:from>
    <xdr:to>
      <xdr:col>21</xdr:col>
      <xdr:colOff>1066800</xdr:colOff>
      <xdr:row>47</xdr:row>
      <xdr:rowOff>84667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287869</xdr:colOff>
      <xdr:row>20</xdr:row>
      <xdr:rowOff>101600</xdr:rowOff>
    </xdr:from>
    <xdr:to>
      <xdr:col>21</xdr:col>
      <xdr:colOff>677334</xdr:colOff>
      <xdr:row>22</xdr:row>
      <xdr:rowOff>8467</xdr:rowOff>
    </xdr:to>
    <xdr:sp macro="" textlink="">
      <xdr:nvSpPr>
        <xdr:cNvPr id="30" name="TextBox 29"/>
        <xdr:cNvSpPr txBox="1"/>
      </xdr:nvSpPr>
      <xdr:spPr>
        <a:xfrm>
          <a:off x="12691536" y="5105400"/>
          <a:ext cx="1930398" cy="28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b="1">
              <a:solidFill>
                <a:schemeClr val="bg2">
                  <a:lumMod val="25000"/>
                </a:schemeClr>
              </a:solidFill>
            </a:rPr>
            <a:t>Total heat recovery [kWh]</a:t>
          </a:r>
        </a:p>
      </xdr:txBody>
    </xdr:sp>
    <xdr:clientData/>
  </xdr:twoCellAnchor>
  <xdr:twoCellAnchor>
    <xdr:from>
      <xdr:col>2</xdr:col>
      <xdr:colOff>169334</xdr:colOff>
      <xdr:row>35</xdr:row>
      <xdr:rowOff>59265</xdr:rowOff>
    </xdr:from>
    <xdr:to>
      <xdr:col>5</xdr:col>
      <xdr:colOff>508000</xdr:colOff>
      <xdr:row>48</xdr:row>
      <xdr:rowOff>135468</xdr:rowOff>
    </xdr:to>
    <xdr:sp macro="" textlink="">
      <xdr:nvSpPr>
        <xdr:cNvPr id="31" name="TextBox 30"/>
        <xdr:cNvSpPr txBox="1"/>
      </xdr:nvSpPr>
      <xdr:spPr>
        <a:xfrm>
          <a:off x="575734" y="9533465"/>
          <a:ext cx="3564466" cy="336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It's not only the climate which can benefit from recovering heat and replacing other energy sources</a:t>
          </a:r>
          <a:r>
            <a:rPr lang="en-GB" sz="1100" baseline="0"/>
            <a:t> - or which is affected by the manufacture of the heat recovery system.</a:t>
          </a:r>
          <a:endParaRPr lang="en-GB" sz="1100"/>
        </a:p>
        <a:p>
          <a:endParaRPr lang="en-GB" sz="1100"/>
        </a:p>
        <a:p>
          <a:r>
            <a:rPr lang="en-GB" sz="1100"/>
            <a:t>There are more environmental impacts, which help us measure overall sustainability of heat recovery.</a:t>
          </a:r>
        </a:p>
        <a:p>
          <a:endParaRPr lang="en-GB" sz="1100"/>
        </a:p>
        <a:p>
          <a:r>
            <a:rPr lang="en-GB" sz="1100"/>
            <a:t>We show some of them here:</a:t>
          </a:r>
        </a:p>
        <a:p>
          <a:r>
            <a:rPr lang="en-GB" sz="1100" b="1"/>
            <a:t>CC</a:t>
          </a:r>
          <a:r>
            <a:rPr lang="en-GB" sz="1100" b="1" baseline="0"/>
            <a:t> -</a:t>
          </a:r>
          <a:r>
            <a:rPr lang="en-GB" sz="1100" baseline="0"/>
            <a:t> Climate Change (the famous carbon or greenhouse gas emissions enhancing global warming)</a:t>
          </a:r>
        </a:p>
        <a:p>
          <a:r>
            <a:rPr lang="en-GB" sz="1100" b="1" baseline="0"/>
            <a:t>AC </a:t>
          </a:r>
          <a:r>
            <a:rPr lang="en-GB" sz="1100" baseline="0"/>
            <a:t>- Acidification (emissions contributing to acidification of soils and water)</a:t>
          </a:r>
        </a:p>
        <a:p>
          <a:r>
            <a:rPr lang="en-GB" sz="1100" b="1" baseline="0"/>
            <a:t>FE </a:t>
          </a:r>
          <a:r>
            <a:rPr lang="en-GB" sz="1100" baseline="0"/>
            <a:t>- Freshwater Eutrophication (emissions which over-enrich aquatic ecosystems with nutritional elements)</a:t>
          </a:r>
        </a:p>
        <a:p>
          <a:r>
            <a:rPr lang="en-GB" sz="1100" b="1" baseline="0"/>
            <a:t>Ftox</a:t>
          </a:r>
          <a:r>
            <a:rPr lang="en-GB" sz="1100" baseline="0"/>
            <a:t> - Freshwater Ecotoxicity (toxic emissions harmful to freshwater organisms)</a:t>
          </a:r>
        </a:p>
        <a:p>
          <a:r>
            <a:rPr lang="en-GB" sz="1100" b="1" baseline="0"/>
            <a:t>RD</a:t>
          </a:r>
          <a:r>
            <a:rPr lang="en-GB" sz="1100" baseline="0"/>
            <a:t> - Resource depletion (not emissions, but the depletion of mineral, fossil and renewable resources)</a:t>
          </a:r>
        </a:p>
        <a:p>
          <a:endParaRPr lang="en-GB" sz="1100" baseline="0"/>
        </a:p>
      </xdr:txBody>
    </xdr:sp>
    <xdr:clientData/>
  </xdr:twoCellAnchor>
  <xdr:twoCellAnchor>
    <xdr:from>
      <xdr:col>2</xdr:col>
      <xdr:colOff>135465</xdr:colOff>
      <xdr:row>33</xdr:row>
      <xdr:rowOff>253999</xdr:rowOff>
    </xdr:from>
    <xdr:to>
      <xdr:col>6</xdr:col>
      <xdr:colOff>50798</xdr:colOff>
      <xdr:row>35</xdr:row>
      <xdr:rowOff>33866</xdr:rowOff>
    </xdr:to>
    <xdr:sp macro="" textlink="">
      <xdr:nvSpPr>
        <xdr:cNvPr id="32" name="TextBox 31"/>
        <xdr:cNvSpPr txBox="1"/>
      </xdr:nvSpPr>
      <xdr:spPr>
        <a:xfrm>
          <a:off x="8111065" y="9050866"/>
          <a:ext cx="3937000" cy="397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For pros: more environmental payback times</a:t>
          </a:r>
        </a:p>
      </xdr:txBody>
    </xdr:sp>
    <xdr:clientData/>
  </xdr:twoCellAnchor>
  <xdr:twoCellAnchor>
    <xdr:from>
      <xdr:col>5</xdr:col>
      <xdr:colOff>8467</xdr:colOff>
      <xdr:row>23</xdr:row>
      <xdr:rowOff>25401</xdr:rowOff>
    </xdr:from>
    <xdr:to>
      <xdr:col>10</xdr:col>
      <xdr:colOff>254000</xdr:colOff>
      <xdr:row>30</xdr:row>
      <xdr:rowOff>211669</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xdr:col>
      <xdr:colOff>364066</xdr:colOff>
      <xdr:row>58</xdr:row>
      <xdr:rowOff>48296</xdr:rowOff>
    </xdr:from>
    <xdr:to>
      <xdr:col>3</xdr:col>
      <xdr:colOff>1667934</xdr:colOff>
      <xdr:row>63</xdr:row>
      <xdr:rowOff>102686</xdr:rowOff>
    </xdr:to>
    <xdr:pic>
      <xdr:nvPicPr>
        <xdr:cNvPr id="40" name="Picture 39"/>
        <xdr:cNvPicPr>
          <a:picLocks noChangeAspect="1"/>
        </xdr:cNvPicPr>
      </xdr:nvPicPr>
      <xdr:blipFill>
        <a:blip xmlns:r="http://schemas.openxmlformats.org/officeDocument/2006/relationships" r:embed="rId10" cstate="print">
          <a:duotone>
            <a:prstClr val="black"/>
            <a:schemeClr val="accent1">
              <a:tint val="45000"/>
              <a:satMod val="400000"/>
            </a:schemeClr>
          </a:duotone>
          <a:extLst>
            <a:ext uri="{BEBA8EAE-BF5A-486C-A8C5-ECC9F3942E4B}">
              <a14:imgProps xmlns:a14="http://schemas.microsoft.com/office/drawing/2010/main">
                <a14:imgLayer r:embed="rId11">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rot="311862">
          <a:off x="1058333" y="14712563"/>
          <a:ext cx="1303868" cy="985724"/>
        </a:xfrm>
        <a:prstGeom prst="rect">
          <a:avLst/>
        </a:prstGeom>
      </xdr:spPr>
    </xdr:pic>
    <xdr:clientData/>
  </xdr:twoCellAnchor>
  <xdr:twoCellAnchor>
    <xdr:from>
      <xdr:col>3</xdr:col>
      <xdr:colOff>508000</xdr:colOff>
      <xdr:row>62</xdr:row>
      <xdr:rowOff>50800</xdr:rowOff>
    </xdr:from>
    <xdr:to>
      <xdr:col>3</xdr:col>
      <xdr:colOff>881380</xdr:colOff>
      <xdr:row>63</xdr:row>
      <xdr:rowOff>145628</xdr:rowOff>
    </xdr:to>
    <xdr:sp macro="" textlink="">
      <xdr:nvSpPr>
        <xdr:cNvPr id="41" name="TextBox 40"/>
        <xdr:cNvSpPr txBox="1"/>
      </xdr:nvSpPr>
      <xdr:spPr>
        <a:xfrm>
          <a:off x="1202267" y="15460133"/>
          <a:ext cx="373380" cy="28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bg2">
                  <a:lumMod val="50000"/>
                </a:schemeClr>
              </a:solidFill>
            </a:rPr>
            <a:t>[6]</a:t>
          </a:r>
        </a:p>
      </xdr:txBody>
    </xdr:sp>
    <xdr:clientData/>
  </xdr:twoCellAnchor>
  <xdr:twoCellAnchor>
    <xdr:from>
      <xdr:col>6</xdr:col>
      <xdr:colOff>33868</xdr:colOff>
      <xdr:row>34</xdr:row>
      <xdr:rowOff>93132</xdr:rowOff>
    </xdr:from>
    <xdr:to>
      <xdr:col>10</xdr:col>
      <xdr:colOff>203201</xdr:colOff>
      <xdr:row>46</xdr:row>
      <xdr:rowOff>101601</xdr:rowOff>
    </xdr:to>
    <xdr:sp macro="" textlink="">
      <xdr:nvSpPr>
        <xdr:cNvPr id="42" name="TextBox 41"/>
        <xdr:cNvSpPr txBox="1"/>
      </xdr:nvSpPr>
      <xdr:spPr>
        <a:xfrm>
          <a:off x="4461935" y="9397999"/>
          <a:ext cx="2971799" cy="3090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GB" sz="1100" baseline="0"/>
        </a:p>
        <a:p>
          <a:pPr algn="l"/>
          <a:r>
            <a:rPr lang="en-GB" sz="1100" baseline="0"/>
            <a:t>The graph shows these impacts as payback time - the time it takes till the saved emissions outweigh the occured emissions (or resource depletion) from the manufacture and disposal of the equipment. Note, that no emissions are generated during its use phase. The smaller the bar, the less years, the better!</a:t>
          </a:r>
        </a:p>
        <a:p>
          <a:pPr algn="l"/>
          <a:endParaRPr lang="en-GB" sz="1100" baseline="0"/>
        </a:p>
        <a:p>
          <a:pPr algn="l"/>
          <a:r>
            <a:rPr lang="en-GB" sz="1100" baseline="0"/>
            <a:t>You will see that the </a:t>
          </a:r>
          <a:r>
            <a:rPr lang="en-GB" sz="1100"/>
            <a:t>manufacture of the pipework can have bigger environmental impacts and therefore take longer to be paid back, than the impacts from the heat exchanger, if much pipework is needed and made from metals.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43</xdr:col>
      <xdr:colOff>791635</xdr:colOff>
      <xdr:row>20</xdr:row>
      <xdr:rowOff>22981</xdr:rowOff>
    </xdr:from>
    <xdr:to>
      <xdr:col>44</xdr:col>
      <xdr:colOff>834572</xdr:colOff>
      <xdr:row>22</xdr:row>
      <xdr:rowOff>52614</xdr:rowOff>
    </xdr:to>
    <xdr:sp macro="" textlink="">
      <xdr:nvSpPr>
        <xdr:cNvPr id="9" name="TextBox 8"/>
        <xdr:cNvSpPr txBox="1"/>
      </xdr:nvSpPr>
      <xdr:spPr>
        <a:xfrm>
          <a:off x="49373368" y="4281714"/>
          <a:ext cx="2252737" cy="461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a:p>
      </xdr:txBody>
    </xdr:sp>
    <xdr:clientData/>
  </xdr:twoCellAnchor>
</xdr:wsDr>
</file>

<file path=xl/tables/table1.xml><?xml version="1.0" encoding="utf-8"?>
<table xmlns="http://schemas.openxmlformats.org/spreadsheetml/2006/main" id="7" name="Table7" displayName="Table7" ref="B50:D53" totalsRowShown="0" headerRowDxfId="16" dataDxfId="14" headerRowBorderDxfId="15">
  <autoFilter ref="B50:D53"/>
  <tableColumns count="3">
    <tableColumn id="1" name="&quot;currency&quot;" dataDxfId="13"/>
    <tableColumn id="2" name="exchange rate" dataDxfId="12"/>
    <tableColumn id="3" name="unit price" dataDxfId="11"/>
  </tableColumns>
  <tableStyleInfo name="TableStyleMedium2" showFirstColumn="0" showLastColumn="0" showRowStripes="1" showColumnStripes="0"/>
</table>
</file>

<file path=xl/tables/table2.xml><?xml version="1.0" encoding="utf-8"?>
<table xmlns="http://schemas.openxmlformats.org/spreadsheetml/2006/main" id="9" name="Table9" displayName="Table9" ref="B70:B78" totalsRowShown="0" headerRowDxfId="10" dataDxfId="8" headerRowBorderDxfId="9" tableBorderDxfId="7">
  <autoFilter ref="B70:B78"/>
  <tableColumns count="1">
    <tableColumn id="1" name="&quot;energy_type&quot;" dataDxfId="6"/>
  </tableColumns>
  <tableStyleInfo name="TableStyleMedium2" showFirstColumn="0" showLastColumn="0" showRowStripes="1" showColumnStripes="0"/>
</table>
</file>

<file path=xl/tables/table3.xml><?xml version="1.0" encoding="utf-8"?>
<table xmlns="http://schemas.openxmlformats.org/spreadsheetml/2006/main" id="1" name="energy_price" displayName="energy_price" ref="F50:H57" totalsRowShown="0" headerRowDxfId="5" dataDxfId="4" tableBorderDxfId="3">
  <autoFilter ref="F50:H57"/>
  <tableColumns count="3">
    <tableColumn id="1" name="fuel" dataDxfId="2">
      <calculatedColumnFormula>B72</calculatedColumnFormula>
    </tableColumn>
    <tableColumn id="2" name="households" dataDxfId="1"/>
    <tableColumn id="3" name="indust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abel.schetak@bangor.ac.uk" TargetMode="External"/><Relationship Id="rId1" Type="http://schemas.openxmlformats.org/officeDocument/2006/relationships/hyperlink" Target="http://www.dwr-uisce.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sciencedirect.com/science/article/pii/S0378778819302142" TargetMode="External"/><Relationship Id="rId7" Type="http://schemas.openxmlformats.org/officeDocument/2006/relationships/table" Target="../tables/table1.xml"/><Relationship Id="rId2" Type="http://schemas.openxmlformats.org/officeDocument/2006/relationships/hyperlink" Target="https://www.sciencedirect.com/science/article/pii/S0301479720309166" TargetMode="External"/><Relationship Id="rId1" Type="http://schemas.openxmlformats.org/officeDocument/2006/relationships/hyperlink" Target="https://www.pipelife.co.uk/uk/media/pdfs/Pipelife-UK-2018-PRICELIST-Web.pdf?m=1526019819&amp;" TargetMode="External"/><Relationship Id="rId6" Type="http://schemas.openxmlformats.org/officeDocument/2006/relationships/vmlDrawing" Target="../drawings/vmlDrawing1.vml"/><Relationship Id="rId5" Type="http://schemas.openxmlformats.org/officeDocument/2006/relationships/drawing" Target="../drawings/drawing6.xml"/><Relationship Id="rId10" Type="http://schemas.openxmlformats.org/officeDocument/2006/relationships/comments" Target="../comments1.xml"/><Relationship Id="rId4" Type="http://schemas.openxmlformats.org/officeDocument/2006/relationships/printerSettings" Target="../printerSettings/printerSettings6.bin"/><Relationship Id="rId9"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carbontrust.com/resources/catering-cut-costs-and-carbon-calculator" TargetMode="External"/><Relationship Id="rId3" Type="http://schemas.openxmlformats.org/officeDocument/2006/relationships/hyperlink" Target="https://www.carbontrust.com/resources/refrigeration-guide" TargetMode="External"/><Relationship Id="rId7" Type="http://schemas.openxmlformats.org/officeDocument/2006/relationships/hyperlink" Target="https://www.dwr-uisce.eu/conference-proceedings-and-posters" TargetMode="External"/><Relationship Id="rId2" Type="http://schemas.openxmlformats.org/officeDocument/2006/relationships/hyperlink" Target="https://www.carbontrust.com/resources/hospitality-sector-energy-saving-guide" TargetMode="External"/><Relationship Id="rId1" Type="http://schemas.openxmlformats.org/officeDocument/2006/relationships/hyperlink" Target="http://energycut.com.au/business/wp-content/uploads/2015/02/Carbon-Trust-Heat-Recovery.pdf" TargetMode="External"/><Relationship Id="rId6" Type="http://schemas.openxmlformats.org/officeDocument/2006/relationships/hyperlink" Target="https://www.sciencedirect.com/science/article/pii/S0378778819302142" TargetMode="External"/><Relationship Id="rId5" Type="http://schemas.openxmlformats.org/officeDocument/2006/relationships/hyperlink" Target="https://www.sciencedirect.com/science/article/pii/S0301479720309166" TargetMode="External"/><Relationship Id="rId4" Type="http://schemas.openxmlformats.org/officeDocument/2006/relationships/hyperlink" Target="https://www.water.ie/conservation/business-water-conservation/business-conservation-tip/hospitality/"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8"/>
  <sheetViews>
    <sheetView tabSelected="1" zoomScale="80" zoomScaleNormal="80" workbookViewId="0">
      <selection activeCell="B48" sqref="B48"/>
    </sheetView>
  </sheetViews>
  <sheetFormatPr defaultRowHeight="14.4" x14ac:dyDescent="0.3"/>
  <cols>
    <col min="1" max="1" width="5.21875" style="18" customWidth="1"/>
    <col min="2" max="2" width="2" style="18" customWidth="1"/>
    <col min="3" max="3" width="4.44140625" style="18" customWidth="1"/>
    <col min="4" max="4" width="152.21875" style="18" customWidth="1"/>
    <col min="5" max="5" width="17.77734375" style="18" customWidth="1"/>
    <col min="6" max="6" width="2.109375" style="18" customWidth="1"/>
    <col min="7" max="10" width="8.88671875" style="18"/>
    <col min="11" max="11" width="11.88671875" style="18" customWidth="1"/>
    <col min="12" max="16384" width="8.88671875" style="18"/>
  </cols>
  <sheetData>
    <row r="1" spans="2:12" ht="23.4" customHeight="1" x14ac:dyDescent="0.3"/>
    <row r="2" spans="2:12" ht="9.6" customHeight="1" x14ac:dyDescent="0.3">
      <c r="B2" s="203"/>
      <c r="C2" s="203"/>
      <c r="D2" s="203"/>
      <c r="E2" s="203"/>
      <c r="F2" s="203"/>
    </row>
    <row r="3" spans="2:12" ht="15" customHeight="1" x14ac:dyDescent="0.3">
      <c r="B3" s="203"/>
      <c r="F3" s="203"/>
    </row>
    <row r="4" spans="2:12" ht="23.4" x14ac:dyDescent="0.45">
      <c r="B4" s="203"/>
      <c r="D4" s="26" t="s">
        <v>128</v>
      </c>
      <c r="F4" s="203"/>
    </row>
    <row r="5" spans="2:12" x14ac:dyDescent="0.3">
      <c r="B5" s="203"/>
      <c r="F5" s="203"/>
    </row>
    <row r="6" spans="2:12" ht="18" x14ac:dyDescent="0.35">
      <c r="B6" s="203"/>
      <c r="D6" s="27" t="s">
        <v>355</v>
      </c>
      <c r="F6" s="203"/>
    </row>
    <row r="7" spans="2:12" ht="8.4" customHeight="1" x14ac:dyDescent="0.3">
      <c r="B7" s="203"/>
      <c r="F7" s="203"/>
    </row>
    <row r="8" spans="2:12" ht="14.4" customHeight="1" x14ac:dyDescent="0.35">
      <c r="B8" s="203"/>
      <c r="D8" s="313" t="s">
        <v>359</v>
      </c>
      <c r="F8" s="203"/>
    </row>
    <row r="9" spans="2:12" ht="7.2" customHeight="1" x14ac:dyDescent="0.3">
      <c r="B9" s="203"/>
      <c r="F9" s="203"/>
    </row>
    <row r="10" spans="2:12" ht="13.8" customHeight="1" x14ac:dyDescent="0.35">
      <c r="B10" s="203"/>
      <c r="D10" s="27" t="s">
        <v>360</v>
      </c>
      <c r="F10" s="203"/>
    </row>
    <row r="11" spans="2:12" ht="44.4" customHeight="1" x14ac:dyDescent="0.3">
      <c r="B11" s="203"/>
      <c r="F11" s="203"/>
    </row>
    <row r="12" spans="2:12" ht="18" x14ac:dyDescent="0.35">
      <c r="B12" s="203"/>
      <c r="D12" s="21" t="s">
        <v>59</v>
      </c>
      <c r="F12" s="203"/>
    </row>
    <row r="13" spans="2:12" x14ac:dyDescent="0.3">
      <c r="B13" s="203"/>
      <c r="F13" s="203"/>
    </row>
    <row r="14" spans="2:12" ht="32.4" customHeight="1" x14ac:dyDescent="0.3">
      <c r="B14" s="203"/>
      <c r="D14" s="311" t="s">
        <v>354</v>
      </c>
      <c r="F14" s="203"/>
    </row>
    <row r="15" spans="2:12" ht="18" x14ac:dyDescent="0.35">
      <c r="B15" s="203"/>
      <c r="D15" s="27"/>
      <c r="F15" s="203"/>
    </row>
    <row r="16" spans="2:12" ht="60" customHeight="1" x14ac:dyDescent="0.35">
      <c r="B16" s="203"/>
      <c r="D16" s="312" t="s">
        <v>361</v>
      </c>
      <c r="F16" s="203"/>
      <c r="L16" s="32"/>
    </row>
    <row r="17" spans="2:12" ht="23.4" customHeight="1" x14ac:dyDescent="0.35">
      <c r="B17" s="203"/>
      <c r="D17" s="316" t="s">
        <v>253</v>
      </c>
      <c r="F17" s="203"/>
      <c r="L17" s="32"/>
    </row>
    <row r="18" spans="2:12" ht="18" x14ac:dyDescent="0.35">
      <c r="B18" s="203"/>
      <c r="D18" s="315" t="s">
        <v>252</v>
      </c>
      <c r="F18" s="203"/>
      <c r="L18" s="32"/>
    </row>
    <row r="19" spans="2:12" ht="27.6" customHeight="1" x14ac:dyDescent="0.3">
      <c r="B19" s="203"/>
      <c r="D19" s="314"/>
      <c r="F19" s="203"/>
    </row>
    <row r="20" spans="2:12" ht="28.2" customHeight="1" x14ac:dyDescent="0.3">
      <c r="B20" s="203"/>
      <c r="D20" s="22"/>
      <c r="F20" s="203"/>
    </row>
    <row r="21" spans="2:12" ht="25.2" customHeight="1" x14ac:dyDescent="0.3">
      <c r="B21" s="203"/>
      <c r="F21" s="203"/>
    </row>
    <row r="22" spans="2:12" ht="38.4" customHeight="1" x14ac:dyDescent="0.3">
      <c r="B22" s="203"/>
      <c r="F22" s="203"/>
    </row>
    <row r="23" spans="2:12" ht="18" x14ac:dyDescent="0.35">
      <c r="B23" s="203"/>
      <c r="D23" s="31" t="s">
        <v>127</v>
      </c>
      <c r="F23" s="203"/>
    </row>
    <row r="24" spans="2:12" x14ac:dyDescent="0.3">
      <c r="B24" s="203"/>
      <c r="F24" s="203"/>
    </row>
    <row r="25" spans="2:12" ht="115.8" customHeight="1" x14ac:dyDescent="0.3">
      <c r="B25" s="203"/>
      <c r="F25" s="203"/>
    </row>
    <row r="26" spans="2:12" ht="58.2" customHeight="1" x14ac:dyDescent="0.3">
      <c r="B26" s="203"/>
      <c r="D26" s="328" t="s">
        <v>362</v>
      </c>
      <c r="F26" s="203"/>
    </row>
    <row r="27" spans="2:12" ht="30" customHeight="1" x14ac:dyDescent="0.3">
      <c r="B27" s="203"/>
      <c r="F27" s="203"/>
    </row>
    <row r="28" spans="2:12" ht="10.8" customHeight="1" x14ac:dyDescent="0.3">
      <c r="B28" s="203"/>
      <c r="C28" s="203"/>
      <c r="D28" s="203"/>
      <c r="E28" s="203"/>
      <c r="F28" s="203"/>
    </row>
  </sheetData>
  <sheetProtection algorithmName="SHA-512" hashValue="1uu/8QGDKzgBxF+5acE06zGvirQby9b0AkTYemeZ3GTPgYOPSCmah4GpFJpEty8/OpIgep8Drs6MiS0ckMhr/Q==" saltValue="I42VVCRiJmuUS4SBeeM2yQ==" spinCount="100000" sheet="1" objects="1" scenarios="1"/>
  <hyperlinks>
    <hyperlink ref="D17" r:id="rId1" display="www.dwr-uisce.eu"/>
    <hyperlink ref="D18" r:id="rId2" display="isabel.schetak@bangor.ac.uk"/>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30"/>
  <sheetViews>
    <sheetView zoomScale="80" zoomScaleNormal="80" workbookViewId="0">
      <selection activeCell="F33" sqref="F33"/>
    </sheetView>
  </sheetViews>
  <sheetFormatPr defaultRowHeight="14.4" x14ac:dyDescent="0.3"/>
  <cols>
    <col min="1" max="1" width="5.21875" style="18" customWidth="1"/>
    <col min="2" max="2" width="2" style="18" customWidth="1"/>
    <col min="3" max="3" width="4.33203125" style="18" customWidth="1"/>
    <col min="4" max="4" width="8.88671875" style="18"/>
    <col min="5" max="5" width="42.44140625" style="18" customWidth="1"/>
    <col min="6" max="6" width="105.88671875" style="18" customWidth="1"/>
    <col min="7" max="7" width="8.88671875" style="18"/>
    <col min="8" max="8" width="2.21875" style="18" customWidth="1"/>
    <col min="9" max="9" width="9.44140625" style="18" customWidth="1"/>
    <col min="10" max="10" width="118.21875" style="18" customWidth="1"/>
    <col min="11" max="16384" width="8.88671875" style="18"/>
  </cols>
  <sheetData>
    <row r="1" spans="2:8" ht="23.4" customHeight="1" x14ac:dyDescent="0.3"/>
    <row r="2" spans="2:8" ht="10.8" customHeight="1" x14ac:dyDescent="0.3">
      <c r="B2" s="203"/>
      <c r="C2" s="203"/>
      <c r="D2" s="203"/>
      <c r="E2" s="203"/>
      <c r="F2" s="203"/>
      <c r="G2" s="203"/>
      <c r="H2" s="203"/>
    </row>
    <row r="3" spans="2:8" ht="16.8" customHeight="1" x14ac:dyDescent="0.3">
      <c r="B3" s="203"/>
      <c r="H3" s="203"/>
    </row>
    <row r="4" spans="2:8" ht="23.4" x14ac:dyDescent="0.45">
      <c r="B4" s="203"/>
      <c r="D4" s="26" t="s">
        <v>254</v>
      </c>
      <c r="H4" s="203"/>
    </row>
    <row r="5" spans="2:8" x14ac:dyDescent="0.3">
      <c r="B5" s="203"/>
      <c r="H5" s="203"/>
    </row>
    <row r="6" spans="2:8" x14ac:dyDescent="0.3">
      <c r="B6" s="203"/>
      <c r="D6" s="22"/>
      <c r="H6" s="203"/>
    </row>
    <row r="7" spans="2:8" ht="21" x14ac:dyDescent="0.4">
      <c r="B7" s="203"/>
      <c r="D7" s="204" t="s">
        <v>259</v>
      </c>
      <c r="E7" s="203"/>
      <c r="F7" s="203"/>
      <c r="H7" s="203"/>
    </row>
    <row r="8" spans="2:8" x14ac:dyDescent="0.3">
      <c r="B8" s="203"/>
      <c r="H8" s="203"/>
    </row>
    <row r="9" spans="2:8" x14ac:dyDescent="0.3">
      <c r="B9" s="203"/>
      <c r="F9" s="55" t="s">
        <v>356</v>
      </c>
      <c r="H9" s="203"/>
    </row>
    <row r="10" spans="2:8" x14ac:dyDescent="0.3">
      <c r="B10" s="203"/>
      <c r="F10" s="55" t="s">
        <v>357</v>
      </c>
      <c r="H10" s="203"/>
    </row>
    <row r="11" spans="2:8" x14ac:dyDescent="0.3">
      <c r="B11" s="203"/>
      <c r="H11" s="203"/>
    </row>
    <row r="12" spans="2:8" x14ac:dyDescent="0.3">
      <c r="B12" s="203"/>
      <c r="F12" s="18" t="s">
        <v>58</v>
      </c>
      <c r="H12" s="203"/>
    </row>
    <row r="13" spans="2:8" x14ac:dyDescent="0.3">
      <c r="B13" s="203"/>
      <c r="F13" s="55" t="s">
        <v>363</v>
      </c>
      <c r="H13" s="203"/>
    </row>
    <row r="14" spans="2:8" ht="28.8" x14ac:dyDescent="0.3">
      <c r="B14" s="203"/>
      <c r="F14" s="55" t="s">
        <v>364</v>
      </c>
      <c r="H14" s="203"/>
    </row>
    <row r="15" spans="2:8" ht="28.8" x14ac:dyDescent="0.3">
      <c r="B15" s="203"/>
      <c r="F15" s="55" t="s">
        <v>365</v>
      </c>
      <c r="H15" s="203"/>
    </row>
    <row r="16" spans="2:8" x14ac:dyDescent="0.3">
      <c r="B16" s="203"/>
      <c r="H16" s="203"/>
    </row>
    <row r="17" spans="2:10" ht="21" x14ac:dyDescent="0.4">
      <c r="B17" s="203"/>
      <c r="D17" s="204" t="s">
        <v>260</v>
      </c>
      <c r="E17" s="203"/>
      <c r="F17" s="203"/>
      <c r="H17" s="203"/>
    </row>
    <row r="18" spans="2:10" ht="15.6" x14ac:dyDescent="0.3">
      <c r="B18" s="203"/>
      <c r="E18" s="19"/>
      <c r="H18" s="203"/>
    </row>
    <row r="19" spans="2:10" x14ac:dyDescent="0.3">
      <c r="B19" s="203"/>
      <c r="H19" s="203"/>
    </row>
    <row r="20" spans="2:10" ht="18" x14ac:dyDescent="0.35">
      <c r="B20" s="203"/>
      <c r="F20" s="254" t="s">
        <v>261</v>
      </c>
      <c r="H20" s="203"/>
    </row>
    <row r="21" spans="2:10" x14ac:dyDescent="0.3">
      <c r="B21" s="203"/>
      <c r="H21" s="203"/>
    </row>
    <row r="22" spans="2:10" ht="37.200000000000003" customHeight="1" x14ac:dyDescent="0.3">
      <c r="B22" s="203"/>
      <c r="F22" s="56" t="s">
        <v>375</v>
      </c>
      <c r="H22" s="203"/>
    </row>
    <row r="23" spans="2:10" ht="43.8" customHeight="1" x14ac:dyDescent="0.3">
      <c r="B23" s="203"/>
      <c r="F23" s="56" t="s">
        <v>323</v>
      </c>
      <c r="H23" s="203"/>
    </row>
    <row r="24" spans="2:10" ht="18" x14ac:dyDescent="0.35">
      <c r="B24" s="203"/>
      <c r="F24" s="255" t="s">
        <v>262</v>
      </c>
      <c r="H24" s="203"/>
    </row>
    <row r="25" spans="2:10" x14ac:dyDescent="0.3">
      <c r="B25" s="203"/>
      <c r="H25" s="203"/>
    </row>
    <row r="26" spans="2:10" ht="244.2" customHeight="1" x14ac:dyDescent="0.3">
      <c r="B26" s="203"/>
      <c r="F26" s="58" t="s">
        <v>366</v>
      </c>
      <c r="H26" s="203"/>
      <c r="J26" s="58"/>
    </row>
    <row r="27" spans="2:10" ht="19.8" customHeight="1" x14ac:dyDescent="0.3">
      <c r="B27" s="203"/>
      <c r="F27" s="317" t="s">
        <v>263</v>
      </c>
      <c r="H27" s="203"/>
    </row>
    <row r="28" spans="2:10" ht="44.4" customHeight="1" x14ac:dyDescent="0.3">
      <c r="B28" s="203"/>
      <c r="F28" s="318" t="s">
        <v>367</v>
      </c>
      <c r="H28" s="203"/>
    </row>
    <row r="29" spans="2:10" x14ac:dyDescent="0.3">
      <c r="B29" s="203"/>
      <c r="H29" s="203"/>
    </row>
    <row r="30" spans="2:10" ht="10.199999999999999" customHeight="1" x14ac:dyDescent="0.3">
      <c r="B30" s="203"/>
      <c r="C30" s="203"/>
      <c r="D30" s="203"/>
      <c r="E30" s="203"/>
      <c r="F30" s="203"/>
      <c r="G30" s="203"/>
      <c r="H30" s="203"/>
    </row>
  </sheetData>
  <sheetProtection algorithmName="SHA-512" hashValue="KP920YTmSAJ8uv5SJ+1XAMlxw6Y2Y/dxU4CyDlq/oHQH13eYTXoLr8DyMVhH+cUlKi6XZzuX1dNOJHUe9CWivA==" saltValue="TvOQBfOKAFwtzRiSNrfD7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24"/>
  <sheetViews>
    <sheetView zoomScale="90" zoomScaleNormal="90" workbookViewId="0">
      <selection activeCell="L22" sqref="L22"/>
    </sheetView>
  </sheetViews>
  <sheetFormatPr defaultRowHeight="14.4" x14ac:dyDescent="0.3"/>
  <cols>
    <col min="1" max="1" width="5.44140625" style="18" customWidth="1"/>
    <col min="2" max="2" width="2" style="18" customWidth="1"/>
    <col min="3" max="3" width="5.109375" style="18" customWidth="1"/>
    <col min="4" max="4" width="8.88671875" style="18"/>
    <col min="5" max="5" width="4.6640625" style="18" customWidth="1"/>
    <col min="6" max="6" width="88.5546875" style="18" customWidth="1"/>
    <col min="7" max="7" width="8.88671875" style="18"/>
    <col min="8" max="8" width="8.88671875" style="18" customWidth="1"/>
    <col min="9" max="9" width="9.109375" style="18" customWidth="1"/>
    <col min="10" max="12" width="8.88671875" style="18"/>
    <col min="13" max="13" width="12.77734375" style="18" customWidth="1"/>
    <col min="14" max="14" width="2.109375" style="18" customWidth="1"/>
    <col min="15" max="16384" width="8.88671875" style="18"/>
  </cols>
  <sheetData>
    <row r="1" spans="2:14" ht="21.6" customHeight="1" x14ac:dyDescent="0.3"/>
    <row r="2" spans="2:14" ht="10.8" customHeight="1" x14ac:dyDescent="0.3">
      <c r="B2" s="203"/>
      <c r="C2" s="203"/>
      <c r="D2" s="203"/>
      <c r="E2" s="203"/>
      <c r="F2" s="203"/>
      <c r="G2" s="203"/>
      <c r="H2" s="203"/>
      <c r="I2" s="203"/>
      <c r="J2" s="203"/>
      <c r="K2" s="203"/>
      <c r="L2" s="203"/>
      <c r="M2" s="203"/>
      <c r="N2" s="203"/>
    </row>
    <row r="3" spans="2:14" ht="15.6" customHeight="1" x14ac:dyDescent="0.3">
      <c r="B3" s="203"/>
      <c r="N3" s="203"/>
    </row>
    <row r="4" spans="2:14" ht="21.6" customHeight="1" x14ac:dyDescent="0.4">
      <c r="B4" s="203"/>
      <c r="D4" s="204" t="s">
        <v>264</v>
      </c>
      <c r="E4" s="203"/>
      <c r="F4" s="203"/>
      <c r="N4" s="203"/>
    </row>
    <row r="5" spans="2:14" x14ac:dyDescent="0.3">
      <c r="B5" s="203"/>
      <c r="N5" s="203"/>
    </row>
    <row r="6" spans="2:14" ht="168.6" customHeight="1" x14ac:dyDescent="0.3">
      <c r="B6" s="203"/>
      <c r="F6" s="57" t="s">
        <v>324</v>
      </c>
      <c r="N6" s="203"/>
    </row>
    <row r="7" spans="2:14" x14ac:dyDescent="0.3">
      <c r="B7" s="203"/>
      <c r="N7" s="203"/>
    </row>
    <row r="8" spans="2:14" ht="18" x14ac:dyDescent="0.3">
      <c r="B8" s="203"/>
      <c r="F8" s="319" t="s">
        <v>265</v>
      </c>
      <c r="N8" s="203"/>
    </row>
    <row r="9" spans="2:14" ht="27" customHeight="1" x14ac:dyDescent="0.3">
      <c r="B9" s="203"/>
      <c r="E9" s="22"/>
      <c r="F9" s="18" t="s">
        <v>57</v>
      </c>
      <c r="N9" s="203"/>
    </row>
    <row r="10" spans="2:14" ht="43.2" x14ac:dyDescent="0.3">
      <c r="B10" s="203"/>
      <c r="E10" s="22"/>
      <c r="F10" s="55" t="s">
        <v>374</v>
      </c>
      <c r="N10" s="203"/>
    </row>
    <row r="11" spans="2:14" x14ac:dyDescent="0.3">
      <c r="B11" s="203"/>
      <c r="N11" s="203"/>
    </row>
    <row r="12" spans="2:14" ht="18" x14ac:dyDescent="0.35">
      <c r="B12" s="203"/>
      <c r="F12" s="205" t="s">
        <v>266</v>
      </c>
      <c r="N12" s="203"/>
    </row>
    <row r="13" spans="2:14" x14ac:dyDescent="0.3">
      <c r="B13" s="203"/>
      <c r="D13" s="22"/>
      <c r="N13" s="203"/>
    </row>
    <row r="14" spans="2:14" x14ac:dyDescent="0.3">
      <c r="B14" s="203"/>
      <c r="F14" s="22" t="s">
        <v>368</v>
      </c>
      <c r="N14" s="203"/>
    </row>
    <row r="15" spans="2:14" ht="34.799999999999997" customHeight="1" x14ac:dyDescent="0.3">
      <c r="B15" s="203"/>
      <c r="F15" s="55" t="s">
        <v>56</v>
      </c>
      <c r="N15" s="203"/>
    </row>
    <row r="16" spans="2:14" ht="38.4" customHeight="1" x14ac:dyDescent="0.3">
      <c r="B16" s="203"/>
      <c r="F16" s="55" t="s">
        <v>369</v>
      </c>
      <c r="N16" s="203"/>
    </row>
    <row r="17" spans="2:14" x14ac:dyDescent="0.3">
      <c r="B17" s="203"/>
      <c r="N17" s="203"/>
    </row>
    <row r="18" spans="2:14" ht="21" customHeight="1" x14ac:dyDescent="0.3">
      <c r="B18" s="203"/>
      <c r="F18" s="331" t="s">
        <v>325</v>
      </c>
      <c r="N18" s="203"/>
    </row>
    <row r="19" spans="2:14" x14ac:dyDescent="0.3">
      <c r="B19" s="203"/>
      <c r="N19" s="203"/>
    </row>
    <row r="20" spans="2:14" ht="64.2" customHeight="1" x14ac:dyDescent="0.3">
      <c r="B20" s="203"/>
      <c r="F20" s="332" t="s">
        <v>326</v>
      </c>
      <c r="N20" s="203"/>
    </row>
    <row r="21" spans="2:14" s="343" customFormat="1" ht="19.2" customHeight="1" x14ac:dyDescent="0.3">
      <c r="B21" s="203"/>
      <c r="F21" s="435" t="s">
        <v>377</v>
      </c>
      <c r="N21" s="203"/>
    </row>
    <row r="22" spans="2:14" s="343" customFormat="1" ht="70.8" customHeight="1" x14ac:dyDescent="0.3">
      <c r="B22" s="203"/>
      <c r="F22" s="436" t="s">
        <v>381</v>
      </c>
      <c r="N22" s="203"/>
    </row>
    <row r="23" spans="2:14" ht="15.6" customHeight="1" x14ac:dyDescent="0.3">
      <c r="B23" s="203"/>
      <c r="N23" s="203"/>
    </row>
    <row r="24" spans="2:14" ht="10.8" customHeight="1" x14ac:dyDescent="0.3">
      <c r="B24" s="203"/>
      <c r="C24" s="203"/>
      <c r="D24" s="203"/>
      <c r="E24" s="203"/>
      <c r="F24" s="203"/>
      <c r="G24" s="203"/>
      <c r="H24" s="203"/>
      <c r="I24" s="203"/>
      <c r="J24" s="203"/>
      <c r="K24" s="203"/>
      <c r="L24" s="203"/>
      <c r="M24" s="203"/>
      <c r="N24" s="203"/>
    </row>
  </sheetData>
  <sheetProtection algorithmName="SHA-512" hashValue="sh3jUY2//cr90FakjHCSOmhHW/ViCZMVznk/s2vshwIfEKMQlmP/AxmEuRCQkzu2oUTanKnU6Q/uY5fbyc+tQw==" saltValue="E3O+R0oog9W9nrgfrAVB2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Q55"/>
  <sheetViews>
    <sheetView zoomScale="90" zoomScaleNormal="90" workbookViewId="0">
      <selection activeCell="J4" sqref="J4"/>
    </sheetView>
  </sheetViews>
  <sheetFormatPr defaultRowHeight="14.4" x14ac:dyDescent="0.3"/>
  <cols>
    <col min="1" max="1" width="5.44140625" style="387" customWidth="1"/>
    <col min="2" max="2" width="1.77734375" style="387" customWidth="1"/>
    <col min="3" max="3" width="3.88671875" style="387" customWidth="1"/>
    <col min="4" max="4" width="3.77734375" style="387" customWidth="1"/>
    <col min="5" max="5" width="32.109375" style="387" customWidth="1"/>
    <col min="6" max="6" width="13.6640625" style="387" customWidth="1"/>
    <col min="7" max="7" width="3" style="387" customWidth="1"/>
    <col min="8" max="8" width="14.5546875" style="387" customWidth="1"/>
    <col min="9" max="9" width="7.109375" style="387" customWidth="1"/>
    <col min="10" max="10" width="8.109375" style="387" customWidth="1"/>
    <col min="11" max="11" width="4.44140625" style="387" customWidth="1"/>
    <col min="12" max="12" width="30.6640625" style="387" customWidth="1"/>
    <col min="13" max="13" width="3.21875" style="387" customWidth="1"/>
    <col min="14" max="14" width="17.77734375" style="387" customWidth="1"/>
    <col min="15" max="15" width="16.109375" style="387" customWidth="1"/>
    <col min="16" max="16" width="7.6640625" style="387" customWidth="1"/>
    <col min="17" max="17" width="2" style="387" customWidth="1"/>
    <col min="18" max="18" width="8.88671875" style="387" customWidth="1"/>
    <col min="19" max="16384" width="8.88671875" style="387"/>
  </cols>
  <sheetData>
    <row r="1" spans="2:17" ht="15.6" x14ac:dyDescent="0.3">
      <c r="C1" s="388"/>
      <c r="D1" s="388"/>
      <c r="M1" s="389"/>
    </row>
    <row r="2" spans="2:17" ht="10.199999999999999" customHeight="1" x14ac:dyDescent="0.3">
      <c r="B2" s="390"/>
      <c r="C2" s="391"/>
      <c r="D2" s="391"/>
      <c r="E2" s="390"/>
      <c r="F2" s="390"/>
      <c r="G2" s="390"/>
      <c r="H2" s="390"/>
      <c r="I2" s="390"/>
      <c r="J2" s="390"/>
      <c r="K2" s="390"/>
      <c r="L2" s="390"/>
      <c r="M2" s="390"/>
      <c r="N2" s="390"/>
      <c r="O2" s="390"/>
      <c r="P2" s="390"/>
      <c r="Q2" s="390"/>
    </row>
    <row r="3" spans="2:17" ht="15" customHeight="1" x14ac:dyDescent="0.4">
      <c r="B3" s="390"/>
      <c r="C3" s="388"/>
      <c r="D3" s="388"/>
      <c r="E3" s="392"/>
      <c r="F3" s="392"/>
      <c r="G3" s="392"/>
      <c r="Q3" s="390"/>
    </row>
    <row r="4" spans="2:17" ht="18.600000000000001" customHeight="1" x14ac:dyDescent="0.45">
      <c r="B4" s="390"/>
      <c r="C4" s="388"/>
      <c r="D4" s="393" t="s">
        <v>212</v>
      </c>
      <c r="F4" s="393"/>
      <c r="G4" s="402" t="s">
        <v>301</v>
      </c>
      <c r="H4" s="440" t="s">
        <v>384</v>
      </c>
      <c r="Q4" s="390"/>
    </row>
    <row r="5" spans="2:17" ht="8.4" customHeight="1" x14ac:dyDescent="0.3">
      <c r="B5" s="390"/>
      <c r="C5" s="388"/>
      <c r="D5" s="388"/>
      <c r="Q5" s="390"/>
    </row>
    <row r="6" spans="2:17" ht="7.2" customHeight="1" x14ac:dyDescent="0.3">
      <c r="B6" s="390"/>
      <c r="C6" s="388"/>
      <c r="D6" s="388"/>
      <c r="Q6" s="390"/>
    </row>
    <row r="7" spans="2:17" ht="18" x14ac:dyDescent="0.35">
      <c r="B7" s="390"/>
      <c r="C7" s="388"/>
      <c r="D7" s="394" t="s">
        <v>267</v>
      </c>
      <c r="E7" s="390"/>
      <c r="F7" s="390"/>
      <c r="G7" s="394"/>
      <c r="H7" s="390"/>
      <c r="I7" s="390"/>
      <c r="J7" s="390"/>
      <c r="K7" s="390"/>
      <c r="L7" s="390"/>
      <c r="M7" s="390"/>
      <c r="N7" s="390"/>
      <c r="O7" s="390"/>
      <c r="Q7" s="390"/>
    </row>
    <row r="8" spans="2:17" x14ac:dyDescent="0.3">
      <c r="B8" s="390"/>
      <c r="C8" s="388"/>
      <c r="D8" s="388"/>
      <c r="M8" s="395"/>
      <c r="N8" s="395"/>
      <c r="O8" s="395"/>
      <c r="P8" s="395"/>
      <c r="Q8" s="396"/>
    </row>
    <row r="9" spans="2:17" ht="15.6" x14ac:dyDescent="0.3">
      <c r="B9" s="390"/>
      <c r="C9" s="388"/>
      <c r="D9" s="397" t="s">
        <v>321</v>
      </c>
      <c r="G9" s="398"/>
      <c r="Q9" s="390"/>
    </row>
    <row r="10" spans="2:17" x14ac:dyDescent="0.3">
      <c r="B10" s="390"/>
      <c r="Q10" s="390"/>
    </row>
    <row r="11" spans="2:17" ht="15" customHeight="1" x14ac:dyDescent="0.35">
      <c r="B11" s="390"/>
      <c r="D11" s="399" t="s">
        <v>304</v>
      </c>
      <c r="E11" s="400" t="s">
        <v>382</v>
      </c>
      <c r="F11" s="401"/>
      <c r="G11" s="402" t="s">
        <v>301</v>
      </c>
      <c r="H11" s="379">
        <v>0</v>
      </c>
      <c r="I11" s="403" t="s">
        <v>209</v>
      </c>
      <c r="J11" s="404" t="s">
        <v>255</v>
      </c>
      <c r="K11" s="399" t="s">
        <v>305</v>
      </c>
      <c r="L11" s="405" t="s">
        <v>315</v>
      </c>
      <c r="M11" s="402" t="s">
        <v>301</v>
      </c>
      <c r="N11" s="336">
        <v>0</v>
      </c>
      <c r="P11" s="406" t="s">
        <v>209</v>
      </c>
      <c r="Q11" s="396"/>
    </row>
    <row r="12" spans="2:17" ht="18" customHeight="1" x14ac:dyDescent="0.3">
      <c r="B12" s="390"/>
      <c r="E12" s="439" t="s">
        <v>383</v>
      </c>
      <c r="F12" s="395"/>
      <c r="G12" s="395"/>
      <c r="H12" s="395"/>
      <c r="I12" s="395"/>
      <c r="J12" s="395"/>
      <c r="L12" s="405" t="s">
        <v>316</v>
      </c>
      <c r="M12" s="402" t="s">
        <v>301</v>
      </c>
      <c r="N12" s="379" t="s">
        <v>314</v>
      </c>
      <c r="O12" s="398" t="s">
        <v>131</v>
      </c>
      <c r="Q12" s="396"/>
    </row>
    <row r="13" spans="2:17" ht="24" customHeight="1" x14ac:dyDescent="0.3">
      <c r="B13" s="390"/>
      <c r="H13" s="389"/>
      <c r="Q13" s="390"/>
    </row>
    <row r="14" spans="2:17" ht="18" x14ac:dyDescent="0.35">
      <c r="B14" s="390"/>
      <c r="D14" s="394" t="s">
        <v>268</v>
      </c>
      <c r="E14" s="390"/>
      <c r="F14" s="390"/>
      <c r="G14" s="394"/>
      <c r="H14" s="390"/>
      <c r="I14" s="390"/>
      <c r="J14" s="390"/>
      <c r="K14" s="390"/>
      <c r="L14" s="390"/>
      <c r="M14" s="390"/>
      <c r="N14" s="390"/>
      <c r="O14" s="390"/>
      <c r="Q14" s="390"/>
    </row>
    <row r="15" spans="2:17" x14ac:dyDescent="0.3">
      <c r="B15" s="390"/>
      <c r="Q15" s="390"/>
    </row>
    <row r="16" spans="2:17" ht="14.4" customHeight="1" x14ac:dyDescent="0.3">
      <c r="B16" s="390"/>
      <c r="D16" s="399" t="s">
        <v>306</v>
      </c>
      <c r="E16" s="400" t="s">
        <v>317</v>
      </c>
      <c r="F16" s="401"/>
      <c r="G16" s="407"/>
      <c r="H16" s="379">
        <v>0</v>
      </c>
      <c r="I16" s="408" t="s">
        <v>209</v>
      </c>
      <c r="Q16" s="390"/>
    </row>
    <row r="17" spans="2:17" x14ac:dyDescent="0.3">
      <c r="B17" s="390"/>
      <c r="E17" s="409"/>
      <c r="F17" s="409"/>
      <c r="G17" s="409"/>
      <c r="Q17" s="390"/>
    </row>
    <row r="18" spans="2:17" ht="15.6" x14ac:dyDescent="0.3">
      <c r="B18" s="390"/>
      <c r="D18" s="397" t="s">
        <v>321</v>
      </c>
      <c r="G18" s="398"/>
      <c r="N18" s="398" t="s">
        <v>322</v>
      </c>
      <c r="O18" s="398"/>
      <c r="Q18" s="390"/>
    </row>
    <row r="19" spans="2:17" x14ac:dyDescent="0.3">
      <c r="B19" s="390"/>
      <c r="E19" s="398"/>
      <c r="F19" s="398"/>
      <c r="G19" s="398"/>
      <c r="N19" s="437" t="s">
        <v>379</v>
      </c>
      <c r="O19" s="410"/>
      <c r="Q19" s="390"/>
    </row>
    <row r="20" spans="2:17" ht="15" customHeight="1" x14ac:dyDescent="0.35">
      <c r="B20" s="390"/>
      <c r="D20" s="399" t="s">
        <v>307</v>
      </c>
      <c r="E20" s="400" t="s">
        <v>378</v>
      </c>
      <c r="F20" s="401"/>
      <c r="G20" s="401"/>
      <c r="H20" s="379">
        <v>0</v>
      </c>
      <c r="J20" s="404" t="s">
        <v>255</v>
      </c>
      <c r="K20" s="399" t="s">
        <v>308</v>
      </c>
      <c r="L20" s="400" t="s">
        <v>1</v>
      </c>
      <c r="N20" s="380">
        <v>0</v>
      </c>
      <c r="O20" s="411"/>
      <c r="P20" s="406"/>
      <c r="Q20" s="390"/>
    </row>
    <row r="21" spans="2:17" ht="15.6" x14ac:dyDescent="0.3">
      <c r="B21" s="390"/>
      <c r="L21" s="400" t="s">
        <v>2</v>
      </c>
      <c r="N21" s="380">
        <v>0</v>
      </c>
      <c r="O21" s="411"/>
      <c r="P21" s="406"/>
      <c r="Q21" s="390"/>
    </row>
    <row r="22" spans="2:17" ht="15.6" x14ac:dyDescent="0.3">
      <c r="B22" s="390"/>
      <c r="L22" s="400" t="s">
        <v>3</v>
      </c>
      <c r="N22" s="380">
        <v>0</v>
      </c>
      <c r="O22" s="411"/>
      <c r="P22" s="406"/>
      <c r="Q22" s="412"/>
    </row>
    <row r="23" spans="2:17" ht="15.6" x14ac:dyDescent="0.3">
      <c r="B23" s="390"/>
      <c r="L23" s="400" t="s">
        <v>4</v>
      </c>
      <c r="N23" s="380">
        <v>0</v>
      </c>
      <c r="O23" s="411"/>
      <c r="P23" s="406"/>
      <c r="Q23" s="390"/>
    </row>
    <row r="24" spans="2:17" ht="15.6" x14ac:dyDescent="0.3">
      <c r="B24" s="390"/>
      <c r="L24" s="400" t="s">
        <v>5</v>
      </c>
      <c r="N24" s="380">
        <v>0</v>
      </c>
      <c r="O24" s="411"/>
      <c r="P24" s="406"/>
      <c r="Q24" s="390"/>
    </row>
    <row r="25" spans="2:17" ht="15.6" x14ac:dyDescent="0.3">
      <c r="B25" s="390"/>
      <c r="L25" s="400" t="s">
        <v>6</v>
      </c>
      <c r="N25" s="380">
        <v>0</v>
      </c>
      <c r="O25" s="411"/>
      <c r="P25" s="406"/>
      <c r="Q25" s="390"/>
    </row>
    <row r="26" spans="2:17" ht="15.6" x14ac:dyDescent="0.3">
      <c r="B26" s="390"/>
      <c r="L26" s="400" t="s">
        <v>7</v>
      </c>
      <c r="N26" s="380">
        <v>0</v>
      </c>
      <c r="O26" s="411"/>
      <c r="P26" s="406"/>
      <c r="Q26" s="390"/>
    </row>
    <row r="27" spans="2:17" x14ac:dyDescent="0.3">
      <c r="B27" s="390"/>
      <c r="Q27" s="390"/>
    </row>
    <row r="28" spans="2:17" x14ac:dyDescent="0.3">
      <c r="B28" s="390"/>
      <c r="Q28" s="390"/>
    </row>
    <row r="29" spans="2:17" ht="18" x14ac:dyDescent="0.35">
      <c r="B29" s="390"/>
      <c r="D29" s="394" t="s">
        <v>269</v>
      </c>
      <c r="E29" s="390"/>
      <c r="F29" s="390"/>
      <c r="G29" s="394"/>
      <c r="H29" s="390"/>
      <c r="I29" s="390"/>
      <c r="J29" s="390"/>
      <c r="K29" s="390"/>
      <c r="L29" s="390"/>
      <c r="M29" s="390"/>
      <c r="N29" s="390"/>
      <c r="O29" s="390"/>
      <c r="Q29" s="390"/>
    </row>
    <row r="30" spans="2:17" x14ac:dyDescent="0.3">
      <c r="B30" s="390"/>
      <c r="Q30" s="390"/>
    </row>
    <row r="31" spans="2:17" ht="17.399999999999999" customHeight="1" x14ac:dyDescent="0.3">
      <c r="B31" s="390"/>
      <c r="D31" s="399" t="s">
        <v>309</v>
      </c>
      <c r="E31" s="400" t="s">
        <v>318</v>
      </c>
      <c r="F31" s="401"/>
      <c r="G31" s="402" t="s">
        <v>301</v>
      </c>
      <c r="H31" s="379" t="s">
        <v>314</v>
      </c>
      <c r="I31" s="413" t="s">
        <v>131</v>
      </c>
      <c r="K31" s="395"/>
      <c r="L31" s="395"/>
      <c r="Q31" s="396"/>
    </row>
    <row r="32" spans="2:17" ht="15.6" x14ac:dyDescent="0.3">
      <c r="B32" s="390"/>
      <c r="E32" s="414"/>
      <c r="F32" s="415"/>
      <c r="G32" s="415"/>
      <c r="H32" s="395"/>
      <c r="I32" s="406"/>
      <c r="K32" s="395"/>
      <c r="L32" s="395"/>
      <c r="Q32" s="396"/>
    </row>
    <row r="33" spans="2:17" ht="15" customHeight="1" x14ac:dyDescent="0.3">
      <c r="B33" s="390"/>
      <c r="D33" s="399" t="s">
        <v>310</v>
      </c>
      <c r="E33" s="400" t="s">
        <v>319</v>
      </c>
      <c r="F33" s="401"/>
      <c r="G33" s="416"/>
      <c r="H33" s="379" t="s">
        <v>314</v>
      </c>
      <c r="I33" s="413" t="s">
        <v>131</v>
      </c>
      <c r="Q33" s="390"/>
    </row>
    <row r="34" spans="2:17" ht="15.6" x14ac:dyDescent="0.3">
      <c r="B34" s="390"/>
      <c r="D34" s="417"/>
      <c r="E34" s="414"/>
      <c r="F34" s="418"/>
      <c r="G34" s="418"/>
      <c r="Q34" s="390"/>
    </row>
    <row r="35" spans="2:17" ht="15.6" customHeight="1" x14ac:dyDescent="0.3">
      <c r="B35" s="390"/>
      <c r="D35" s="399" t="s">
        <v>311</v>
      </c>
      <c r="E35" s="405" t="s">
        <v>320</v>
      </c>
      <c r="F35" s="419" t="str">
        <f>IF(H33=Calculations!B52,Calculations!D52,Calculations!D53)</f>
        <v>[cent/kWh]</v>
      </c>
      <c r="H35" s="379">
        <v>0</v>
      </c>
      <c r="Q35" s="390"/>
    </row>
    <row r="36" spans="2:17" x14ac:dyDescent="0.3">
      <c r="B36" s="390"/>
      <c r="D36" s="417"/>
      <c r="M36" s="395"/>
      <c r="N36" s="395"/>
      <c r="O36" s="395"/>
      <c r="P36" s="395"/>
      <c r="Q36" s="396"/>
    </row>
    <row r="37" spans="2:17" x14ac:dyDescent="0.3">
      <c r="B37" s="390"/>
      <c r="D37" s="417"/>
      <c r="Q37" s="390"/>
    </row>
    <row r="38" spans="2:17" ht="18" x14ac:dyDescent="0.35">
      <c r="B38" s="390"/>
      <c r="D38" s="394" t="s">
        <v>270</v>
      </c>
      <c r="E38" s="390"/>
      <c r="F38" s="390"/>
      <c r="G38" s="394"/>
      <c r="H38" s="390"/>
      <c r="I38" s="390"/>
      <c r="J38" s="390"/>
      <c r="K38" s="390"/>
      <c r="L38" s="390"/>
      <c r="M38" s="390"/>
      <c r="N38" s="390"/>
      <c r="O38" s="390"/>
      <c r="Q38" s="390"/>
    </row>
    <row r="39" spans="2:17" x14ac:dyDescent="0.3">
      <c r="B39" s="390"/>
      <c r="D39" s="417"/>
      <c r="Q39" s="390"/>
    </row>
    <row r="40" spans="2:17" ht="16.2" x14ac:dyDescent="0.3">
      <c r="B40" s="390"/>
      <c r="D40" s="399" t="s">
        <v>312</v>
      </c>
      <c r="E40" s="399" t="s">
        <v>302</v>
      </c>
      <c r="F40" s="417"/>
      <c r="G40" s="402" t="s">
        <v>301</v>
      </c>
      <c r="H40" s="379">
        <v>0</v>
      </c>
      <c r="Q40" s="390"/>
    </row>
    <row r="41" spans="2:17" ht="18" customHeight="1" x14ac:dyDescent="0.3">
      <c r="B41" s="390"/>
      <c r="E41" s="438" t="s">
        <v>303</v>
      </c>
      <c r="F41" s="438"/>
      <c r="G41" s="438"/>
      <c r="H41" s="409"/>
      <c r="I41" s="420"/>
      <c r="J41" s="421"/>
      <c r="K41" s="421"/>
      <c r="L41" s="421"/>
      <c r="Q41" s="396"/>
    </row>
    <row r="42" spans="2:17" ht="18" customHeight="1" x14ac:dyDescent="0.3">
      <c r="B42" s="390"/>
      <c r="E42" s="407"/>
      <c r="F42" s="407"/>
      <c r="G42" s="407"/>
      <c r="H42" s="409"/>
      <c r="I42" s="420"/>
      <c r="J42" s="421"/>
      <c r="K42" s="421"/>
      <c r="L42" s="421"/>
      <c r="Q42" s="396"/>
    </row>
    <row r="43" spans="2:17" ht="18" customHeight="1" x14ac:dyDescent="0.3">
      <c r="B43" s="390"/>
      <c r="D43" s="390"/>
      <c r="E43" s="422"/>
      <c r="F43" s="422"/>
      <c r="G43" s="422"/>
      <c r="H43" s="423"/>
      <c r="I43" s="424"/>
      <c r="J43" s="425"/>
      <c r="K43" s="425"/>
      <c r="L43" s="425"/>
      <c r="M43" s="390"/>
      <c r="N43" s="390"/>
      <c r="O43" s="390"/>
      <c r="Q43" s="396"/>
    </row>
    <row r="44" spans="2:17" ht="18" customHeight="1" x14ac:dyDescent="0.3">
      <c r="B44" s="390"/>
      <c r="D44" s="426" t="s">
        <v>380</v>
      </c>
      <c r="E44" s="407"/>
      <c r="F44" s="407"/>
      <c r="G44" s="407"/>
      <c r="H44" s="409"/>
      <c r="I44" s="420"/>
      <c r="J44" s="421"/>
      <c r="K44" s="421"/>
      <c r="L44" s="421"/>
      <c r="Q44" s="396"/>
    </row>
    <row r="45" spans="2:17" ht="22.2" customHeight="1" x14ac:dyDescent="0.3">
      <c r="B45" s="390"/>
      <c r="E45" s="421"/>
      <c r="F45" s="421"/>
      <c r="G45" s="421"/>
      <c r="H45" s="395"/>
      <c r="I45" s="395"/>
      <c r="J45" s="421"/>
      <c r="K45" s="421"/>
      <c r="L45" s="421"/>
      <c r="Q45" s="396"/>
    </row>
    <row r="46" spans="2:17" ht="9.6" customHeight="1" x14ac:dyDescent="0.3">
      <c r="B46" s="390"/>
      <c r="C46" s="390"/>
      <c r="D46" s="390"/>
      <c r="E46" s="427"/>
      <c r="F46" s="427"/>
      <c r="G46" s="427"/>
      <c r="H46" s="423"/>
      <c r="I46" s="428"/>
      <c r="J46" s="425"/>
      <c r="K46" s="425"/>
      <c r="L46" s="425"/>
      <c r="M46" s="390"/>
      <c r="N46" s="390"/>
      <c r="O46" s="390"/>
      <c r="P46" s="390"/>
      <c r="Q46" s="396"/>
    </row>
    <row r="47" spans="2:17" x14ac:dyDescent="0.3">
      <c r="E47" s="409"/>
      <c r="F47" s="409"/>
      <c r="G47" s="409"/>
      <c r="H47" s="409"/>
      <c r="I47" s="421"/>
      <c r="J47" s="421"/>
      <c r="K47" s="421"/>
      <c r="L47" s="421"/>
      <c r="M47" s="421"/>
      <c r="N47" s="395"/>
      <c r="O47" s="395"/>
      <c r="P47" s="395"/>
      <c r="Q47" s="395"/>
    </row>
    <row r="48" spans="2:17" x14ac:dyDescent="0.3">
      <c r="E48" s="409"/>
      <c r="F48" s="409"/>
      <c r="G48" s="409"/>
      <c r="H48" s="409"/>
    </row>
    <row r="49" spans="5:10" x14ac:dyDescent="0.3">
      <c r="E49" s="409"/>
      <c r="F49" s="409"/>
      <c r="G49" s="409"/>
      <c r="H49" s="409"/>
    </row>
    <row r="50" spans="5:10" ht="18" x14ac:dyDescent="0.35">
      <c r="E50" s="429"/>
      <c r="F50" s="429"/>
      <c r="G50" s="429"/>
      <c r="H50" s="409"/>
    </row>
    <row r="51" spans="5:10" x14ac:dyDescent="0.3">
      <c r="E51" s="409"/>
      <c r="F51" s="409"/>
      <c r="G51" s="409"/>
      <c r="H51" s="409"/>
    </row>
    <row r="52" spans="5:10" ht="35.4" customHeight="1" x14ac:dyDescent="0.3">
      <c r="E52" s="430"/>
      <c r="F52" s="430"/>
      <c r="G52" s="430"/>
      <c r="H52" s="409"/>
      <c r="I52" s="431"/>
      <c r="J52" s="432"/>
    </row>
    <row r="53" spans="5:10" x14ac:dyDescent="0.3">
      <c r="E53" s="409"/>
      <c r="F53" s="409"/>
      <c r="G53" s="409"/>
      <c r="H53" s="409"/>
    </row>
    <row r="54" spans="5:10" x14ac:dyDescent="0.3">
      <c r="E54" s="409"/>
      <c r="F54" s="409"/>
      <c r="G54" s="409"/>
      <c r="H54" s="409"/>
    </row>
    <row r="55" spans="5:10" x14ac:dyDescent="0.3">
      <c r="E55" s="409"/>
      <c r="F55" s="409"/>
      <c r="G55" s="409"/>
      <c r="H55" s="409"/>
    </row>
  </sheetData>
  <sheetProtection algorithmName="SHA-512" hashValue="6F65EciV+6gjL/uxh9nXwRDXw2GM7uSW3I1HWrdq/x0H6+mEdONjVCyAJSXXN23pzX9svOaink0Ze3HN3g5R+Q==" saltValue="+D6CHAb9ch1tmBytFpmtBQ==" spinCount="100000" sheet="1" objects="1" scenarios="1"/>
  <protectedRanges>
    <protectedRange sqref="H11 N11:N12 H16 H20 N20:N26 H31 H33 H35 H40" name="Entry_fields"/>
  </protectedRanges>
  <mergeCells count="1">
    <mergeCell ref="E41:G41"/>
  </mergeCells>
  <dataValidations count="8">
    <dataValidation type="list" allowBlank="1" showInputMessage="1" showErrorMessage="1" sqref="H33">
      <formula1>currency</formula1>
    </dataValidation>
    <dataValidation allowBlank="1" showErrorMessage="1" sqref="N11"/>
    <dataValidation allowBlank="1" showInputMessage="1" showErrorMessage="1" prompt="Which energy does your hot water boiler use?" sqref="G31"/>
    <dataValidation allowBlank="1" showInputMessage="1" showErrorMessage="1" prompt="Typically a value between 200 and 4000 m3/year. Water consumption of the kitchen only. _x000a_If no submetered data for the kitchen available, please skip and fill in 1b) instead." sqref="G11"/>
    <dataValidation allowBlank="1" showInputMessage="1" showErrorMessage="1" prompt="QUICK SERVICE: pub, fast food, cafe, take away, mobile catering_x000a_CANTEEN: staff catering, schools, universities _x000a_HOTEL: restaurant in a hotel _x000a_RESTAURANT: with table service; includes: hospital, care home" sqref="M12"/>
    <dataValidation allowBlank="1" showInputMessage="1" showErrorMessage="1" prompt="Typically a value between 5000 and 100,000" sqref="M11"/>
    <dataValidation allowBlank="1" showInputMessage="1" showErrorMessage="1" prompt="For example between 5 -10 m. _x000a_We use this to estimate the amount of pipework required." sqref="G40"/>
    <dataValidation allowBlank="1" showInputMessage="1" showErrorMessage="1" prompt="Click to see help." sqref="G4"/>
  </dataValidations>
  <pageMargins left="0.7" right="0.7" top="0.75" bottom="0.75" header="0.3" footer="0.3"/>
  <pageSetup paperSize="9" orientation="portrait" r:id="rId1"/>
  <ignoredErrors>
    <ignoredError sqref="F35" unlockedFormula="1"/>
  </ignoredErrors>
  <drawing r:id="rId2"/>
  <extLst>
    <ext xmlns:x14="http://schemas.microsoft.com/office/spreadsheetml/2009/9/main" uri="{CCE6A557-97BC-4b89-ADB6-D9C93CAAB3DF}">
      <x14:dataValidations xmlns:xm="http://schemas.microsoft.com/office/excel/2006/main" count="2">
        <x14:dataValidation type="list" allowBlank="1" showErrorMessage="1">
          <x14:formula1>
            <xm:f>Calculations!$B$32:$B$36</xm:f>
          </x14:formula1>
          <xm:sqref>N12</xm:sqref>
        </x14:dataValidation>
        <x14:dataValidation type="list" allowBlank="1" showErrorMessage="1">
          <x14:formula1>
            <xm:f>Calculations!$B$71:$B$78</xm:f>
          </x14:formula1>
          <xm:sqref>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64"/>
  <sheetViews>
    <sheetView zoomScale="90" zoomScaleNormal="90" workbookViewId="0">
      <selection activeCell="H5" sqref="H5"/>
    </sheetView>
  </sheetViews>
  <sheetFormatPr defaultRowHeight="14.4" x14ac:dyDescent="0.3"/>
  <cols>
    <col min="1" max="1" width="4.109375" style="343" customWidth="1"/>
    <col min="2" max="2" width="1.88671875" style="343" customWidth="1"/>
    <col min="3" max="3" width="3.109375" style="343" customWidth="1"/>
    <col min="4" max="4" width="38.88671875" style="343" customWidth="1"/>
    <col min="5" max="5" width="4" style="343" customWidth="1"/>
    <col min="6" max="6" width="11.5546875" style="343" customWidth="1"/>
    <col min="7" max="7" width="4.44140625" style="343" customWidth="1"/>
    <col min="8" max="8" width="11.77734375" style="343" customWidth="1"/>
    <col min="9" max="9" width="11.21875" style="343" customWidth="1"/>
    <col min="10" max="10" width="13.44140625" style="343" customWidth="1"/>
    <col min="11" max="11" width="4.77734375" style="343" customWidth="1"/>
    <col min="12" max="12" width="1.88671875" style="343" customWidth="1"/>
    <col min="13" max="13" width="5.77734375" style="343" customWidth="1"/>
    <col min="14" max="14" width="1.77734375" style="343" customWidth="1"/>
    <col min="15" max="15" width="2.88671875" style="343" customWidth="1"/>
    <col min="16" max="16" width="40" style="343" customWidth="1"/>
    <col min="17" max="17" width="6.44140625" style="343" customWidth="1"/>
    <col min="18" max="18" width="12" style="343" customWidth="1"/>
    <col min="19" max="19" width="7.33203125" style="343" customWidth="1"/>
    <col min="20" max="20" width="11.21875" style="343" customWidth="1"/>
    <col min="21" max="21" width="3.88671875" style="343" customWidth="1"/>
    <col min="22" max="22" width="16.77734375" style="343" customWidth="1"/>
    <col min="23" max="23" width="2" style="343" customWidth="1"/>
    <col min="24" max="24" width="6.21875" style="343" customWidth="1"/>
    <col min="25" max="16384" width="8.88671875" style="343"/>
  </cols>
  <sheetData>
    <row r="1" spans="2:20" ht="21" customHeight="1" x14ac:dyDescent="0.3"/>
    <row r="2" spans="2:20" ht="24.6" customHeight="1" thickBot="1" x14ac:dyDescent="0.5">
      <c r="E2" s="349"/>
      <c r="F2" s="373" t="s">
        <v>313</v>
      </c>
      <c r="H2" s="363" t="s">
        <v>249</v>
      </c>
    </row>
    <row r="3" spans="2:20" ht="16.8" customHeight="1" thickBot="1" x14ac:dyDescent="0.5">
      <c r="D3" s="348" t="s">
        <v>256</v>
      </c>
      <c r="E3" s="349"/>
      <c r="F3" s="381">
        <f>Calculations!C28</f>
        <v>10</v>
      </c>
      <c r="H3" s="433">
        <v>10</v>
      </c>
    </row>
    <row r="4" spans="2:20" ht="13.8" customHeight="1" thickBot="1" x14ac:dyDescent="0.5">
      <c r="D4" s="348"/>
      <c r="E4" s="349"/>
      <c r="F4" s="372"/>
    </row>
    <row r="5" spans="2:20" ht="16.2" customHeight="1" thickBot="1" x14ac:dyDescent="0.5">
      <c r="D5" s="348" t="s">
        <v>229</v>
      </c>
      <c r="E5" s="349"/>
      <c r="F5" s="381" t="str">
        <f>Calculations!F43</f>
        <v>plastic (PE)</v>
      </c>
      <c r="H5" s="433" t="s">
        <v>186</v>
      </c>
    </row>
    <row r="6" spans="2:20" ht="27.6" customHeight="1" x14ac:dyDescent="0.5">
      <c r="B6" s="350" t="s">
        <v>126</v>
      </c>
      <c r="P6" s="349"/>
      <c r="Q6" s="349"/>
    </row>
    <row r="8" spans="2:20" ht="7.8" customHeight="1" x14ac:dyDescent="0.3"/>
    <row r="9" spans="2:20" ht="10.8" customHeight="1" x14ac:dyDescent="0.3"/>
    <row r="10" spans="2:20" ht="18" x14ac:dyDescent="0.35">
      <c r="D10" s="367" t="s">
        <v>228</v>
      </c>
      <c r="P10" s="367" t="s">
        <v>167</v>
      </c>
      <c r="Q10" s="345"/>
    </row>
    <row r="11" spans="2:20" x14ac:dyDescent="0.3">
      <c r="F11" s="374" t="s">
        <v>313</v>
      </c>
      <c r="H11" s="363" t="s">
        <v>249</v>
      </c>
      <c r="R11" s="374" t="s">
        <v>313</v>
      </c>
      <c r="T11" s="363" t="s">
        <v>249</v>
      </c>
    </row>
    <row r="12" spans="2:20" x14ac:dyDescent="0.3">
      <c r="D12" s="346" t="s">
        <v>230</v>
      </c>
      <c r="F12" s="340" t="e">
        <f>Calculations!O72</f>
        <v>#N/A</v>
      </c>
      <c r="G12" s="359"/>
      <c r="H12" s="334" t="e">
        <f>F12</f>
        <v>#N/A</v>
      </c>
      <c r="P12" s="346" t="s">
        <v>155</v>
      </c>
      <c r="Q12" s="346"/>
      <c r="R12" s="337" t="e">
        <f>Calculations!V8</f>
        <v>#N/A</v>
      </c>
      <c r="S12" s="378"/>
      <c r="T12" s="338" t="e">
        <f>R12</f>
        <v>#N/A</v>
      </c>
    </row>
    <row r="13" spans="2:20" ht="43.2" x14ac:dyDescent="0.3">
      <c r="D13" s="353" t="s">
        <v>370</v>
      </c>
      <c r="R13" s="347"/>
      <c r="S13" s="347"/>
      <c r="T13" s="347"/>
    </row>
    <row r="14" spans="2:20" ht="15.6" x14ac:dyDescent="0.3">
      <c r="J14" s="344" t="s">
        <v>273</v>
      </c>
      <c r="P14" s="346" t="s">
        <v>223</v>
      </c>
      <c r="Q14" s="346"/>
      <c r="R14" s="337" t="e">
        <f>Calculations!V9</f>
        <v>#N/A</v>
      </c>
      <c r="S14" s="378"/>
      <c r="T14" s="338" t="e">
        <f>Calculations!V15</f>
        <v>#N/A</v>
      </c>
    </row>
    <row r="15" spans="2:20" ht="15.6" x14ac:dyDescent="0.3">
      <c r="D15" s="346" t="s">
        <v>242</v>
      </c>
      <c r="F15" s="340" t="e">
        <f>Calculations!O85</f>
        <v>#N/A</v>
      </c>
      <c r="H15" s="334" t="e">
        <f>Calculations!O97</f>
        <v>#N/A</v>
      </c>
      <c r="J15" s="342" t="e">
        <f>Calculations!B124</f>
        <v>#N/A</v>
      </c>
    </row>
    <row r="16" spans="2:20" ht="32.4" customHeight="1" x14ac:dyDescent="0.3">
      <c r="D16" s="364" t="s">
        <v>233</v>
      </c>
      <c r="J16" s="371" t="s">
        <v>276</v>
      </c>
      <c r="R16" s="361"/>
      <c r="S16" s="361"/>
      <c r="T16" s="361"/>
    </row>
    <row r="17" spans="4:20" ht="19.2" customHeight="1" x14ac:dyDescent="0.3">
      <c r="R17" s="361"/>
      <c r="S17" s="361"/>
      <c r="T17" s="361"/>
    </row>
    <row r="18" spans="4:20" ht="9.6" customHeight="1" x14ac:dyDescent="0.3"/>
    <row r="19" spans="4:20" x14ac:dyDescent="0.3">
      <c r="D19" s="346" t="s">
        <v>300</v>
      </c>
      <c r="F19" s="340" t="e">
        <f>Calculations!U85</f>
        <v>#N/A</v>
      </c>
      <c r="H19" s="334" t="e">
        <f>Calculations!U97</f>
        <v>#N/A</v>
      </c>
    </row>
    <row r="20" spans="4:20" ht="43.2" x14ac:dyDescent="0.3">
      <c r="D20" s="353" t="s">
        <v>327</v>
      </c>
    </row>
    <row r="22" spans="4:20" ht="15.6" x14ac:dyDescent="0.3">
      <c r="D22" s="356" t="s">
        <v>231</v>
      </c>
      <c r="F22" s="366" t="e">
        <f>Calculations!AA85</f>
        <v>#N/A</v>
      </c>
      <c r="H22" s="365" t="e">
        <f>Calculations!AA97</f>
        <v>#N/A</v>
      </c>
    </row>
    <row r="23" spans="4:20" ht="57" customHeight="1" x14ac:dyDescent="0.3">
      <c r="D23" s="377" t="s">
        <v>232</v>
      </c>
    </row>
    <row r="24" spans="4:20" ht="20.399999999999999" customHeight="1" x14ac:dyDescent="0.3">
      <c r="D24" s="364"/>
    </row>
    <row r="25" spans="4:20" ht="17.399999999999999" customHeight="1" x14ac:dyDescent="0.35">
      <c r="P25" s="367" t="s">
        <v>222</v>
      </c>
      <c r="R25" s="361"/>
      <c r="S25" s="361"/>
      <c r="T25" s="361"/>
    </row>
    <row r="26" spans="4:20" ht="22.8" customHeight="1" x14ac:dyDescent="0.3">
      <c r="R26" s="374" t="s">
        <v>313</v>
      </c>
      <c r="T26" s="363" t="s">
        <v>249</v>
      </c>
    </row>
    <row r="27" spans="4:20" x14ac:dyDescent="0.3">
      <c r="P27" s="346" t="str">
        <f>IF('Data entry &gt;'!H33=Calculations!B52,Calculations!D115,Calculations!E115)</f>
        <v>Annual savings [€]</v>
      </c>
      <c r="Q27" s="346"/>
      <c r="R27" s="335" t="e">
        <f>Calculations!O42</f>
        <v>#N/A</v>
      </c>
      <c r="S27" s="378"/>
      <c r="T27" s="338" t="e">
        <f>'Results !'!R27</f>
        <v>#N/A</v>
      </c>
    </row>
    <row r="28" spans="4:20" ht="43.2" x14ac:dyDescent="0.3">
      <c r="D28" s="360"/>
      <c r="P28" s="353" t="s">
        <v>371</v>
      </c>
      <c r="Q28" s="353"/>
      <c r="R28" s="361"/>
      <c r="S28" s="361"/>
      <c r="T28" s="361"/>
    </row>
    <row r="29" spans="4:20" ht="18.600000000000001" customHeight="1" x14ac:dyDescent="0.3">
      <c r="D29" s="360"/>
    </row>
    <row r="30" spans="4:20" x14ac:dyDescent="0.3">
      <c r="P30" s="346" t="str">
        <f>IF('Data entry &gt;'!H33=Calculations!B52,Calculations!D118,Calculations!E118)</f>
        <v>Total operational savings [€]</v>
      </c>
      <c r="R30" s="333" t="e">
        <f>Calculations!O43</f>
        <v>#N/A</v>
      </c>
      <c r="T30" s="334" t="e">
        <f>Calculations!O53</f>
        <v>#N/A</v>
      </c>
    </row>
    <row r="31" spans="4:20" ht="34.799999999999997" customHeight="1" x14ac:dyDescent="0.3">
      <c r="D31" s="360"/>
      <c r="P31" s="354" t="s">
        <v>238</v>
      </c>
    </row>
    <row r="33" spans="4:20" x14ac:dyDescent="0.3">
      <c r="P33" s="346" t="str">
        <f>IF('Data entry &gt;'!H33=Calculations!B52,Calculations!D114,Calculations!E114)</f>
        <v>Investment costs [€]</v>
      </c>
      <c r="Q33" s="346"/>
      <c r="R33" s="335" t="e">
        <f>Calculations!T49</f>
        <v>#N/A</v>
      </c>
      <c r="S33" s="362"/>
      <c r="T33" s="338" t="e">
        <f>Calculations!T59</f>
        <v>#N/A</v>
      </c>
    </row>
    <row r="34" spans="4:20" ht="46.2" customHeight="1" x14ac:dyDescent="0.3">
      <c r="D34" s="369"/>
      <c r="P34" s="354" t="s">
        <v>376</v>
      </c>
    </row>
    <row r="35" spans="4:20" ht="13.2" customHeight="1" x14ac:dyDescent="0.3">
      <c r="Q35" s="353"/>
      <c r="R35" s="361"/>
      <c r="S35" s="361"/>
      <c r="T35" s="361"/>
    </row>
    <row r="36" spans="4:20" x14ac:dyDescent="0.3">
      <c r="P36" s="346" t="s">
        <v>224</v>
      </c>
      <c r="Q36" s="346"/>
      <c r="R36" s="289" t="e">
        <f>Calculations!X44</f>
        <v>#N/A</v>
      </c>
      <c r="S36" s="368"/>
      <c r="T36" s="339" t="e">
        <f>Calculations!X54</f>
        <v>#N/A</v>
      </c>
    </row>
    <row r="37" spans="4:20" ht="43.2" x14ac:dyDescent="0.3">
      <c r="P37" s="355" t="s">
        <v>225</v>
      </c>
      <c r="Q37" s="360"/>
      <c r="R37" s="361"/>
      <c r="S37" s="361"/>
      <c r="T37" s="361"/>
    </row>
    <row r="38" spans="4:20" ht="54" customHeight="1" x14ac:dyDescent="0.35">
      <c r="D38" s="367"/>
    </row>
    <row r="39" spans="4:20" x14ac:dyDescent="0.3">
      <c r="P39" s="346"/>
      <c r="R39" s="375"/>
      <c r="S39" s="376"/>
      <c r="T39" s="375"/>
    </row>
    <row r="40" spans="4:20" x14ac:dyDescent="0.3">
      <c r="P40" s="354"/>
    </row>
    <row r="44" spans="4:20" x14ac:dyDescent="0.3">
      <c r="R44" s="361"/>
      <c r="S44" s="361"/>
      <c r="T44" s="361"/>
    </row>
    <row r="47" spans="4:20" x14ac:dyDescent="0.3">
      <c r="R47" s="361"/>
      <c r="S47" s="361"/>
      <c r="T47" s="361"/>
    </row>
    <row r="53" spans="16:16" ht="18" x14ac:dyDescent="0.35">
      <c r="P53" s="367" t="s">
        <v>343</v>
      </c>
    </row>
    <row r="55" spans="16:16" x14ac:dyDescent="0.3">
      <c r="P55" s="346" t="s">
        <v>333</v>
      </c>
    </row>
    <row r="56" spans="16:16" x14ac:dyDescent="0.3">
      <c r="P56" s="343" t="e">
        <f>IF(T30&gt;T33,Calculations!H113,Calculations!H114)</f>
        <v>#N/A</v>
      </c>
    </row>
    <row r="58" spans="16:16" x14ac:dyDescent="0.3">
      <c r="P58" s="346" t="s">
        <v>334</v>
      </c>
    </row>
    <row r="59" spans="16:16" x14ac:dyDescent="0.3">
      <c r="P59" s="343" t="e">
        <f>IF(H15&gt;H19,Calculations!H115,Calculations!H116)</f>
        <v>#N/A</v>
      </c>
    </row>
    <row r="60" spans="16:16" x14ac:dyDescent="0.3">
      <c r="P60" s="343" t="e">
        <f>IF(H15&gt;H19,Calculations!H121,Calculations!H117)</f>
        <v>#N/A</v>
      </c>
    </row>
    <row r="62" spans="16:16" x14ac:dyDescent="0.3">
      <c r="P62" s="346" t="s">
        <v>353</v>
      </c>
    </row>
    <row r="63" spans="16:16" x14ac:dyDescent="0.3">
      <c r="P63" s="343" t="e">
        <f>IF(AND(Calculations!AA109&lt;'Results !'!H3,Calculations!AA110&lt;'Results !'!H3,Calculations!AA111&lt;'Results !'!H3,Calculations!AA112&lt;'Results !'!H3,Calculations!AA113&lt;'Results !'!H3),Calculations!H118,Calculations!H119)</f>
        <v>#N/A</v>
      </c>
    </row>
    <row r="64" spans="16:16" x14ac:dyDescent="0.3">
      <c r="P64" s="343" t="e">
        <f>IF(AND(Calculations!AA109&lt;'Results !'!H3,Calculations!AA110&lt;'Results !'!H3,Calculations!AA111&lt;'Results !'!H3,Calculations!AA112&lt;'Results !'!H3,Calculations!AA113&lt;'Results !'!H3),Calculations!H121,Calculations!H120)</f>
        <v>#N/A</v>
      </c>
    </row>
  </sheetData>
  <sheetProtection algorithmName="SHA-512" hashValue="N/PR/AWqIFK0CXAawjRyynUxCqTAXPYEJflMkv6FdsqLNQ/krrqyJEpqvpjDBnB/68TXgUuIctlGyeRomXdqsw==" saltValue="+1qbiY3YiPwTArlnaLwuRQ==" spinCount="100000" sheet="1" objects="1" scenarios="1"/>
  <protectedRanges>
    <protectedRange sqref="H3 H5" name="Range1"/>
  </protectedRanges>
  <dataValidations count="1">
    <dataValidation type="list" allowBlank="1" showErrorMessage="1" sqref="H3">
      <formula1>"1,2,3,4,5,6,7,8,9,10,11,12,13,14,15,16,17,18,19,20"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Calculations!$F$43:$F$45</xm:f>
          </x14:formula1>
          <xm:sqref>H5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P352"/>
  <sheetViews>
    <sheetView topLeftCell="A19" zoomScale="80" zoomScaleNormal="80" workbookViewId="0">
      <selection activeCell="T59" sqref="T59"/>
    </sheetView>
  </sheetViews>
  <sheetFormatPr defaultRowHeight="14.4" x14ac:dyDescent="0.3"/>
  <cols>
    <col min="1" max="1" width="6.5546875" style="18" customWidth="1"/>
    <col min="2" max="2" width="22.21875" style="33" customWidth="1"/>
    <col min="3" max="3" width="14.21875" customWidth="1"/>
    <col min="4" max="4" width="17.5546875" customWidth="1"/>
    <col min="5" max="5" width="12.6640625" customWidth="1"/>
    <col min="6" max="6" width="21" customWidth="1"/>
    <col min="7" max="7" width="14" customWidth="1"/>
    <col min="8" max="8" width="12.77734375" customWidth="1"/>
    <col min="9" max="9" width="13.5546875" customWidth="1"/>
    <col min="10" max="10" width="12" customWidth="1"/>
    <col min="11" max="11" width="13" customWidth="1"/>
    <col min="12" max="12" width="14.44140625" style="37" customWidth="1"/>
    <col min="13" max="13" width="12" style="28" bestFit="1" customWidth="1"/>
    <col min="14" max="14" width="21.5546875" customWidth="1"/>
    <col min="15" max="15" width="10.21875" bestFit="1" customWidth="1"/>
    <col min="16" max="16" width="15.109375" customWidth="1"/>
    <col min="17" max="17" width="10.109375" customWidth="1"/>
    <col min="18" max="18" width="19.44140625" customWidth="1"/>
    <col min="19" max="19" width="10.44140625" customWidth="1"/>
    <col min="20" max="20" width="12.109375" customWidth="1"/>
    <col min="22" max="22" width="14.77734375" customWidth="1"/>
    <col min="23" max="23" width="23.21875" customWidth="1"/>
    <col min="24" max="24" width="11" customWidth="1"/>
    <col min="25" max="25" width="17.44140625" customWidth="1"/>
    <col min="27" max="27" width="12.6640625" customWidth="1"/>
    <col min="28" max="28" width="8.88671875" style="33"/>
    <col min="37" max="37" width="8.88671875" style="49"/>
    <col min="38" max="38" width="47.33203125" customWidth="1"/>
    <col min="39" max="39" width="7.5546875" customWidth="1"/>
    <col min="40" max="40" width="16.5546875" customWidth="1"/>
    <col min="42" max="42" width="12.21875" customWidth="1"/>
    <col min="43" max="43" width="6" customWidth="1"/>
    <col min="44" max="44" width="32.21875" customWidth="1"/>
    <col min="45" max="45" width="17" style="33" customWidth="1"/>
    <col min="46" max="46" width="19.109375" style="33" customWidth="1"/>
    <col min="47" max="50" width="14.21875" style="33" customWidth="1"/>
    <col min="51" max="51" width="14" style="33" customWidth="1"/>
    <col min="52" max="52" width="8.5546875" style="51" customWidth="1"/>
    <col min="53" max="53" width="14.6640625" customWidth="1"/>
    <col min="55" max="55" width="19.21875" customWidth="1"/>
    <col min="56" max="56" width="4.33203125" customWidth="1"/>
    <col min="58" max="58" width="4.109375" customWidth="1"/>
    <col min="59" max="59" width="8.77734375" customWidth="1"/>
  </cols>
  <sheetData>
    <row r="1" spans="2:68" s="18" customFormat="1" x14ac:dyDescent="0.3">
      <c r="L1" s="28"/>
      <c r="M1" s="28"/>
      <c r="AK1" s="53"/>
      <c r="AZ1" s="51"/>
    </row>
    <row r="2" spans="2:68" ht="23.4" x14ac:dyDescent="0.45">
      <c r="B2" s="136" t="s">
        <v>178</v>
      </c>
      <c r="C2" s="137"/>
      <c r="D2" s="137"/>
      <c r="E2" s="137"/>
      <c r="F2" s="137"/>
      <c r="G2" s="137"/>
      <c r="H2" s="137"/>
      <c r="I2" s="137"/>
      <c r="J2" s="137"/>
      <c r="K2" s="137"/>
      <c r="L2" s="138"/>
      <c r="N2" s="136" t="s">
        <v>179</v>
      </c>
      <c r="O2" s="135"/>
      <c r="P2" s="135"/>
      <c r="Q2" s="135"/>
      <c r="R2" s="135"/>
      <c r="S2" s="135"/>
      <c r="T2" s="135"/>
      <c r="U2" s="135"/>
      <c r="V2" s="135"/>
      <c r="W2" s="135"/>
      <c r="X2" s="135"/>
      <c r="Y2" s="135"/>
      <c r="Z2" s="135"/>
      <c r="AA2" s="135"/>
      <c r="AB2" s="135"/>
      <c r="AK2" s="53"/>
      <c r="AL2" s="18"/>
      <c r="AM2" s="18"/>
      <c r="AN2" s="18"/>
      <c r="AO2" s="18"/>
      <c r="AP2" s="18"/>
      <c r="AQ2" s="18"/>
      <c r="AR2" s="18"/>
      <c r="AS2" s="18"/>
      <c r="AT2" s="18"/>
      <c r="AU2" s="18"/>
      <c r="AV2" s="18"/>
      <c r="AW2" s="18"/>
      <c r="AX2" s="18"/>
      <c r="AY2" s="18"/>
      <c r="BA2" s="18"/>
      <c r="BB2" s="18"/>
      <c r="BC2" s="18"/>
      <c r="BD2" s="18"/>
      <c r="BE2" s="18"/>
      <c r="BF2" s="18"/>
      <c r="BG2" s="18"/>
      <c r="BH2" s="18"/>
      <c r="BI2" s="18"/>
      <c r="BJ2" s="18"/>
      <c r="BK2" s="18"/>
      <c r="BL2" s="18"/>
      <c r="BM2" s="18"/>
      <c r="BN2" s="18"/>
      <c r="BO2" s="18"/>
      <c r="BP2" s="18"/>
    </row>
    <row r="3" spans="2:68" s="18" customFormat="1" ht="19.2" customHeight="1" x14ac:dyDescent="0.5">
      <c r="L3" s="28"/>
      <c r="M3" s="28"/>
      <c r="AD3" s="28"/>
      <c r="AE3" s="28"/>
      <c r="AF3" s="28"/>
      <c r="AG3" s="28"/>
      <c r="AK3" s="38"/>
      <c r="AL3" s="295"/>
      <c r="AM3" s="38"/>
      <c r="AN3" s="38"/>
      <c r="AO3" s="38"/>
      <c r="AP3" s="38"/>
      <c r="AQ3" s="293"/>
      <c r="AR3" s="38"/>
      <c r="AS3" s="38"/>
      <c r="AT3" s="38"/>
      <c r="AU3" s="38"/>
      <c r="AV3" s="38"/>
      <c r="AW3" s="38"/>
      <c r="AX3" s="38"/>
      <c r="AY3" s="38"/>
      <c r="AZ3" s="38"/>
      <c r="BA3" s="38"/>
      <c r="BB3" s="38"/>
      <c r="BC3" s="38"/>
      <c r="BD3" s="38"/>
      <c r="BE3" s="38"/>
      <c r="BF3" s="38"/>
      <c r="BG3" s="38"/>
      <c r="BH3" s="38"/>
      <c r="BI3" s="38"/>
      <c r="BJ3" s="38"/>
      <c r="BK3" s="38"/>
      <c r="BL3" s="38"/>
    </row>
    <row r="4" spans="2:68" ht="18" x14ac:dyDescent="0.35">
      <c r="B4" s="78" t="s">
        <v>167</v>
      </c>
      <c r="C4" s="60"/>
      <c r="D4" s="60"/>
      <c r="E4" s="60"/>
      <c r="F4" s="60"/>
      <c r="G4" s="60"/>
      <c r="H4" s="60"/>
      <c r="I4" s="60"/>
      <c r="J4" s="60"/>
      <c r="K4" s="60"/>
      <c r="L4" s="139"/>
      <c r="N4" s="78" t="s">
        <v>167</v>
      </c>
      <c r="O4" s="60"/>
      <c r="P4" s="60"/>
      <c r="Q4" s="60"/>
      <c r="R4" s="154"/>
      <c r="S4" s="60"/>
      <c r="T4" s="61"/>
      <c r="U4" s="60"/>
      <c r="V4" s="60"/>
      <c r="W4" s="60"/>
      <c r="X4" s="60"/>
      <c r="Y4" s="60"/>
      <c r="Z4" s="60"/>
      <c r="AA4" s="60"/>
      <c r="AB4" s="60"/>
      <c r="AD4" s="48"/>
      <c r="AE4" s="37"/>
      <c r="AF4" s="37"/>
      <c r="AG4" s="37"/>
      <c r="AK4" s="38"/>
      <c r="AL4" s="38"/>
      <c r="AM4" s="38"/>
      <c r="AN4" s="38"/>
      <c r="AO4" s="38"/>
      <c r="AP4" s="38"/>
      <c r="AQ4" s="292"/>
      <c r="AR4" s="38"/>
      <c r="AS4" s="38"/>
      <c r="AT4" s="38"/>
      <c r="AU4" s="38"/>
      <c r="AV4" s="38"/>
      <c r="AW4" s="38"/>
      <c r="AX4" s="38"/>
      <c r="AY4" s="38"/>
      <c r="AZ4" s="38"/>
      <c r="BA4" s="38"/>
      <c r="BB4" s="38"/>
      <c r="BC4" s="38"/>
      <c r="BD4" s="38"/>
      <c r="BE4" s="38"/>
      <c r="BF4" s="38"/>
      <c r="BG4" s="38"/>
      <c r="BH4" s="38"/>
      <c r="BI4" s="38"/>
      <c r="BJ4" s="38"/>
      <c r="BK4" s="38"/>
      <c r="BL4" s="38"/>
      <c r="BM4" s="18"/>
      <c r="BN4" s="18"/>
      <c r="BO4" s="18"/>
      <c r="BP4" s="18"/>
    </row>
    <row r="5" spans="2:68" s="18" customFormat="1" ht="18.600000000000001" thickBot="1" x14ac:dyDescent="0.4">
      <c r="B5" s="21"/>
      <c r="L5" s="28"/>
      <c r="M5" s="28"/>
      <c r="R5" s="23"/>
      <c r="T5" s="25"/>
      <c r="U5" s="28"/>
      <c r="V5" s="28"/>
      <c r="W5" s="28"/>
      <c r="X5" s="28"/>
      <c r="Y5" s="28"/>
      <c r="Z5" s="28"/>
      <c r="AA5" s="28"/>
      <c r="AD5" s="177"/>
      <c r="AE5" s="28"/>
      <c r="AF5" s="28"/>
      <c r="AG5" s="28"/>
      <c r="AK5" s="38"/>
      <c r="AL5" s="38"/>
      <c r="AM5" s="38"/>
      <c r="AN5" s="38"/>
      <c r="AO5" s="38"/>
      <c r="AP5" s="38"/>
      <c r="AQ5" s="292"/>
      <c r="AR5" s="38"/>
      <c r="AS5" s="38"/>
      <c r="AT5" s="38"/>
      <c r="AU5" s="38"/>
      <c r="AV5" s="38"/>
      <c r="AW5" s="38"/>
      <c r="AX5" s="38"/>
      <c r="AY5" s="38"/>
      <c r="AZ5" s="38"/>
      <c r="BA5" s="38"/>
      <c r="BB5" s="38"/>
      <c r="BC5" s="38"/>
      <c r="BD5" s="38"/>
      <c r="BE5" s="38"/>
      <c r="BF5" s="38"/>
      <c r="BG5" s="38"/>
      <c r="BH5" s="38"/>
      <c r="BI5" s="38"/>
      <c r="BJ5" s="38"/>
      <c r="BK5" s="38"/>
      <c r="BL5" s="38"/>
    </row>
    <row r="6" spans="2:68" ht="17.399999999999999" customHeight="1" thickBot="1" x14ac:dyDescent="0.35">
      <c r="B6" s="150" t="s">
        <v>163</v>
      </c>
      <c r="C6" s="151"/>
      <c r="D6" s="152"/>
      <c r="E6" s="18"/>
      <c r="F6" s="150" t="s">
        <v>164</v>
      </c>
      <c r="G6" s="144"/>
      <c r="H6" s="145"/>
      <c r="I6" s="18"/>
      <c r="J6" s="18"/>
      <c r="K6" s="18"/>
      <c r="L6" s="28"/>
      <c r="N6" s="140" t="s">
        <v>181</v>
      </c>
      <c r="O6" s="141"/>
      <c r="P6" s="162"/>
      <c r="R6" s="171" t="s">
        <v>182</v>
      </c>
      <c r="S6" s="163"/>
      <c r="T6" s="164"/>
      <c r="V6" s="143" t="s">
        <v>220</v>
      </c>
      <c r="W6" s="145"/>
      <c r="Y6" s="37"/>
      <c r="Z6" s="37"/>
      <c r="AA6" s="37"/>
      <c r="AD6" s="37"/>
      <c r="AE6" s="37"/>
      <c r="AF6" s="37"/>
      <c r="AG6" s="37"/>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18"/>
      <c r="BN6" s="18"/>
      <c r="BO6" s="18"/>
      <c r="BP6" s="18"/>
    </row>
    <row r="7" spans="2:68" ht="18" customHeight="1" thickBot="1" x14ac:dyDescent="0.45">
      <c r="B7" s="69" t="s">
        <v>9</v>
      </c>
      <c r="C7" s="70" t="s">
        <v>10</v>
      </c>
      <c r="D7" s="73" t="s">
        <v>11</v>
      </c>
      <c r="E7" s="175"/>
      <c r="F7" s="107" t="s">
        <v>32</v>
      </c>
      <c r="G7" s="153" t="s">
        <v>27</v>
      </c>
      <c r="H7" s="73" t="s">
        <v>180</v>
      </c>
      <c r="I7" s="18"/>
      <c r="J7" s="18"/>
      <c r="K7" s="18"/>
      <c r="L7" s="28"/>
      <c r="M7" s="172"/>
      <c r="N7" s="155" t="s">
        <v>28</v>
      </c>
      <c r="O7" s="156">
        <f>'Data entry &gt;'!H11</f>
        <v>0</v>
      </c>
      <c r="P7" s="82" t="s">
        <v>20</v>
      </c>
      <c r="R7" s="155" t="s">
        <v>153</v>
      </c>
      <c r="S7" s="156">
        <f>'Data entry &gt;'!H20*'Data entry &gt;'!H16</f>
        <v>0</v>
      </c>
      <c r="T7" s="82" t="s">
        <v>19</v>
      </c>
      <c r="V7" s="170" t="e">
        <f>VLOOKUP(O14,kitchen_heat,2,TRUE)</f>
        <v>#N/A</v>
      </c>
      <c r="W7" s="8" t="s">
        <v>30</v>
      </c>
      <c r="Y7" s="37"/>
      <c r="Z7" s="37"/>
      <c r="AA7" s="37"/>
      <c r="AF7" s="37"/>
      <c r="AG7" s="37"/>
      <c r="AK7" s="38"/>
      <c r="AL7" s="296"/>
      <c r="AM7" s="38"/>
      <c r="AN7" s="38"/>
      <c r="AO7" s="38"/>
      <c r="AP7" s="38"/>
      <c r="AQ7" s="38"/>
      <c r="AR7" s="38"/>
      <c r="AS7" s="38"/>
      <c r="AT7" s="38"/>
      <c r="AU7" s="38"/>
      <c r="AV7" s="38"/>
      <c r="AW7" s="38"/>
      <c r="AX7" s="38"/>
      <c r="AY7" s="38"/>
      <c r="AZ7" s="38"/>
      <c r="BA7" s="38"/>
      <c r="BB7" s="297"/>
      <c r="BC7" s="38"/>
      <c r="BD7" s="38"/>
      <c r="BE7" s="38"/>
      <c r="BF7" s="38"/>
      <c r="BG7" s="38"/>
      <c r="BH7" s="38"/>
      <c r="BI7" s="38"/>
      <c r="BJ7" s="38"/>
      <c r="BK7" s="38"/>
      <c r="BL7" s="38"/>
      <c r="BM7" s="18"/>
      <c r="BN7" s="18"/>
      <c r="BO7" s="18"/>
      <c r="BP7" s="18"/>
    </row>
    <row r="8" spans="2:68" ht="21.6" thickBot="1" x14ac:dyDescent="0.45">
      <c r="B8" s="74" t="s">
        <v>12</v>
      </c>
      <c r="C8" s="75" t="s">
        <v>13</v>
      </c>
      <c r="D8" s="74" t="s">
        <v>14</v>
      </c>
      <c r="E8" s="175"/>
      <c r="F8" s="76" t="s">
        <v>18</v>
      </c>
      <c r="G8" s="79" t="s">
        <v>15</v>
      </c>
      <c r="H8" s="74" t="s">
        <v>13</v>
      </c>
      <c r="I8" s="18"/>
      <c r="J8" s="18"/>
      <c r="K8" s="18"/>
      <c r="L8" s="28"/>
      <c r="M8" s="172"/>
      <c r="N8" s="77" t="s">
        <v>130</v>
      </c>
      <c r="O8" s="67"/>
      <c r="P8" s="161"/>
      <c r="R8" s="77" t="s">
        <v>130</v>
      </c>
      <c r="S8" s="67"/>
      <c r="T8" s="161"/>
      <c r="V8" s="168" t="e">
        <f>V7*(O12*1000)</f>
        <v>#N/A</v>
      </c>
      <c r="W8" s="8" t="s">
        <v>33</v>
      </c>
      <c r="Y8" s="37"/>
      <c r="Z8" s="37"/>
      <c r="AA8" s="37"/>
      <c r="AF8" s="37"/>
      <c r="AG8" s="37"/>
      <c r="AK8" s="38"/>
      <c r="AL8" s="38"/>
      <c r="AM8" s="38"/>
      <c r="AN8" s="38"/>
      <c r="AO8" s="38"/>
      <c r="AP8" s="38"/>
      <c r="AQ8" s="38"/>
      <c r="AR8" s="38"/>
      <c r="AS8" s="38"/>
      <c r="AT8" s="38"/>
      <c r="AU8" s="38"/>
      <c r="AV8" s="38"/>
      <c r="AW8" s="38"/>
      <c r="AX8" s="38"/>
      <c r="AY8" s="38"/>
      <c r="AZ8" s="38"/>
      <c r="BA8" s="38"/>
      <c r="BB8" s="297"/>
      <c r="BC8" s="38"/>
      <c r="BD8" s="38"/>
      <c r="BE8" s="38"/>
      <c r="BF8" s="38"/>
      <c r="BG8" s="38"/>
      <c r="BH8" s="38"/>
      <c r="BI8" s="38"/>
      <c r="BJ8" s="38"/>
      <c r="BK8" s="38"/>
      <c r="BL8" s="38"/>
      <c r="BM8" s="18"/>
      <c r="BN8" s="18"/>
      <c r="BO8" s="18"/>
      <c r="BP8" s="18"/>
    </row>
    <row r="9" spans="2:68" ht="16.2" thickBot="1" x14ac:dyDescent="0.35">
      <c r="B9" s="358">
        <v>360</v>
      </c>
      <c r="C9" s="184">
        <v>1</v>
      </c>
      <c r="D9" s="357">
        <v>3.0027161985630602</v>
      </c>
      <c r="E9" s="175"/>
      <c r="F9" s="98">
        <v>1</v>
      </c>
      <c r="G9" s="99">
        <f>G10</f>
        <v>8.3408783293418345E-3</v>
      </c>
      <c r="H9" s="100">
        <v>1</v>
      </c>
      <c r="I9" s="18"/>
      <c r="J9" s="18"/>
      <c r="K9" s="18"/>
      <c r="L9" s="28"/>
      <c r="M9" s="172"/>
      <c r="N9" s="157" t="s">
        <v>29</v>
      </c>
      <c r="O9" s="158" t="e">
        <f>VLOOKUP('Data entry &gt;'!N12,kitchen_type,2,FALSE)</f>
        <v>#N/A</v>
      </c>
      <c r="P9" s="5" t="s">
        <v>25</v>
      </c>
      <c r="R9" s="155" t="s">
        <v>154</v>
      </c>
      <c r="S9" s="156">
        <f>('Data entry &gt;'!N20+'Data entry &gt;'!N21+'Data entry &gt;'!N22+'Data entry &gt;'!N23+'Data entry &gt;'!N24+'Data entry &gt;'!N25+'Data entry &gt;'!N26)*'Data entry &gt;'!H16</f>
        <v>0</v>
      </c>
      <c r="T9" s="82" t="s">
        <v>19</v>
      </c>
      <c r="V9" s="169" t="e">
        <f>V8*C28</f>
        <v>#N/A</v>
      </c>
      <c r="W9" s="10" t="s">
        <v>107</v>
      </c>
      <c r="Y9" s="37"/>
      <c r="Z9" s="37"/>
      <c r="AA9" s="37"/>
      <c r="AF9" s="37"/>
      <c r="AG9" s="37"/>
      <c r="AK9" s="38"/>
      <c r="AL9" s="293"/>
      <c r="AM9" s="293"/>
      <c r="AN9" s="293"/>
      <c r="AO9" s="293"/>
      <c r="AP9" s="293"/>
      <c r="AQ9" s="293"/>
      <c r="AR9" s="293"/>
      <c r="AS9" s="293"/>
      <c r="AT9" s="293"/>
      <c r="AU9" s="293"/>
      <c r="AV9" s="293"/>
      <c r="AW9" s="293"/>
      <c r="AX9" s="293"/>
      <c r="AY9" s="293"/>
      <c r="AZ9" s="293"/>
      <c r="BA9" s="38"/>
      <c r="BB9" s="38"/>
      <c r="BC9" s="38"/>
      <c r="BD9" s="38"/>
      <c r="BE9" s="38"/>
      <c r="BF9" s="38"/>
      <c r="BG9" s="38"/>
      <c r="BH9" s="38"/>
      <c r="BI9" s="38"/>
      <c r="BJ9" s="38"/>
      <c r="BK9" s="38"/>
      <c r="BL9" s="38"/>
      <c r="BM9" s="18"/>
      <c r="BN9" s="18"/>
      <c r="BO9" s="18"/>
      <c r="BP9" s="18"/>
    </row>
    <row r="10" spans="2:68" ht="16.2" thickBot="1" x14ac:dyDescent="0.35">
      <c r="B10" s="358">
        <v>555</v>
      </c>
      <c r="C10" s="184">
        <v>1</v>
      </c>
      <c r="D10" s="357">
        <v>4.6291874727846203</v>
      </c>
      <c r="E10" s="175"/>
      <c r="F10" s="101">
        <f t="shared" ref="F10:F25" si="0">B9/$C$27</f>
        <v>45</v>
      </c>
      <c r="G10" s="102">
        <f t="shared" ref="G10:G25" si="1">D9/B9</f>
        <v>8.3408783293418345E-3</v>
      </c>
      <c r="H10" s="103">
        <f t="shared" ref="H10:H25" si="2">C9</f>
        <v>1</v>
      </c>
      <c r="I10" s="18"/>
      <c r="J10" s="18"/>
      <c r="K10" s="18"/>
      <c r="L10" s="28"/>
      <c r="M10" s="172"/>
      <c r="N10" s="159" t="s">
        <v>29</v>
      </c>
      <c r="O10" s="160" t="e">
        <f>('Data entry &gt;'!N11*O9)/1000</f>
        <v>#N/A</v>
      </c>
      <c r="P10" s="10" t="s">
        <v>20</v>
      </c>
      <c r="Y10" s="37"/>
      <c r="Z10" s="37"/>
      <c r="AA10" s="37"/>
      <c r="AF10" s="42"/>
      <c r="AG10" s="37"/>
      <c r="AK10" s="38"/>
      <c r="AL10" s="293"/>
      <c r="AM10" s="293"/>
      <c r="AN10" s="293"/>
      <c r="AO10" s="293"/>
      <c r="AP10" s="293"/>
      <c r="AQ10" s="293"/>
      <c r="AR10" s="293"/>
      <c r="AS10" s="293"/>
      <c r="AT10" s="293"/>
      <c r="AU10" s="293"/>
      <c r="AV10" s="293"/>
      <c r="AW10" s="293"/>
      <c r="AX10" s="293"/>
      <c r="AY10" s="293"/>
      <c r="AZ10" s="293"/>
      <c r="BA10" s="38"/>
      <c r="BB10" s="38"/>
      <c r="BC10" s="38"/>
      <c r="BD10" s="38"/>
      <c r="BE10" s="38"/>
      <c r="BF10" s="38"/>
      <c r="BG10" s="38"/>
      <c r="BH10" s="38"/>
      <c r="BI10" s="38"/>
      <c r="BJ10" s="38"/>
      <c r="BK10" s="38"/>
      <c r="BL10" s="38"/>
      <c r="BM10" s="18"/>
      <c r="BN10" s="18"/>
      <c r="BO10" s="18"/>
      <c r="BP10" s="18"/>
    </row>
    <row r="11" spans="2:68" ht="18.600000000000001" customHeight="1" thickBot="1" x14ac:dyDescent="0.4">
      <c r="B11" s="358">
        <v>600</v>
      </c>
      <c r="C11" s="184">
        <v>1</v>
      </c>
      <c r="D11" s="357">
        <v>5.0045269976050397</v>
      </c>
      <c r="E11" s="175"/>
      <c r="F11" s="101">
        <f t="shared" si="0"/>
        <v>69.375</v>
      </c>
      <c r="G11" s="102">
        <f t="shared" si="1"/>
        <v>8.3408783293416576E-3</v>
      </c>
      <c r="H11" s="103">
        <f t="shared" si="2"/>
        <v>1</v>
      </c>
      <c r="I11" s="18"/>
      <c r="J11" s="18"/>
      <c r="K11" s="18"/>
      <c r="L11" s="28"/>
      <c r="M11" s="172"/>
      <c r="N11" s="20"/>
      <c r="O11" s="20"/>
      <c r="P11" s="20"/>
      <c r="Y11" s="37"/>
      <c r="Z11" s="37"/>
      <c r="AA11" s="37"/>
      <c r="AF11" s="37"/>
      <c r="AG11" s="37"/>
      <c r="AK11" s="38"/>
      <c r="AL11" s="38"/>
      <c r="AM11" s="38"/>
      <c r="AN11" s="298"/>
      <c r="AO11" s="38"/>
      <c r="AP11" s="38"/>
      <c r="AQ11" s="38"/>
      <c r="AR11" s="38"/>
      <c r="AS11" s="293"/>
      <c r="AT11" s="38"/>
      <c r="AU11" s="293"/>
      <c r="AV11" s="293"/>
      <c r="AW11" s="293"/>
      <c r="AX11" s="293"/>
      <c r="AY11" s="293"/>
      <c r="AZ11" s="293"/>
      <c r="BA11" s="38"/>
      <c r="BB11" s="299"/>
      <c r="BC11" s="38"/>
      <c r="BD11" s="38"/>
      <c r="BE11" s="300"/>
      <c r="BF11" s="301"/>
      <c r="BG11" s="38"/>
      <c r="BH11" s="38"/>
      <c r="BI11" s="38"/>
      <c r="BJ11" s="38"/>
      <c r="BK11" s="38"/>
      <c r="BL11" s="38"/>
      <c r="BM11" s="18"/>
      <c r="BN11" s="18"/>
      <c r="BO11" s="18"/>
      <c r="BP11" s="18"/>
    </row>
    <row r="12" spans="2:68" ht="16.2" thickBot="1" x14ac:dyDescent="0.35">
      <c r="B12" s="358">
        <v>750</v>
      </c>
      <c r="C12" s="184">
        <v>1</v>
      </c>
      <c r="D12" s="357">
        <v>6.2556587470063301</v>
      </c>
      <c r="E12" s="175"/>
      <c r="F12" s="101">
        <f t="shared" si="0"/>
        <v>75</v>
      </c>
      <c r="G12" s="102">
        <f t="shared" si="1"/>
        <v>8.3408783293417322E-3</v>
      </c>
      <c r="H12" s="103">
        <f t="shared" si="2"/>
        <v>1</v>
      </c>
      <c r="I12" s="18"/>
      <c r="J12" s="18"/>
      <c r="K12" s="18"/>
      <c r="L12" s="28"/>
      <c r="M12" s="172"/>
      <c r="N12" s="165" t="s">
        <v>8</v>
      </c>
      <c r="O12" s="156" t="e">
        <f>IF(Calculations!O7=0,Calculations!O10,Calculations!O7)</f>
        <v>#N/A</v>
      </c>
      <c r="P12" s="82" t="s">
        <v>20</v>
      </c>
      <c r="R12" s="155" t="s">
        <v>151</v>
      </c>
      <c r="S12" s="156">
        <f>IF(Calculations!S7=0,Calculations!S9,Calculations!S7)</f>
        <v>0</v>
      </c>
      <c r="T12" s="82" t="s">
        <v>19</v>
      </c>
      <c r="U12" s="37" t="s">
        <v>26</v>
      </c>
      <c r="V12" s="143" t="s">
        <v>221</v>
      </c>
      <c r="W12" s="145"/>
      <c r="X12" s="37"/>
      <c r="Y12" s="37"/>
      <c r="Z12" s="37"/>
      <c r="AA12" s="37"/>
      <c r="AF12" s="37"/>
      <c r="AG12" s="37"/>
      <c r="AK12" s="38"/>
      <c r="AL12" s="38"/>
      <c r="AM12" s="38"/>
      <c r="AN12" s="38"/>
      <c r="AO12" s="38"/>
      <c r="AP12" s="38"/>
      <c r="AQ12" s="38"/>
      <c r="AR12" s="38"/>
      <c r="AS12" s="293"/>
      <c r="AT12" s="293"/>
      <c r="AU12" s="293"/>
      <c r="AV12" s="293"/>
      <c r="AW12" s="293"/>
      <c r="AX12" s="293"/>
      <c r="AY12" s="38"/>
      <c r="AZ12" s="293"/>
      <c r="BA12" s="38"/>
      <c r="BB12" s="38"/>
      <c r="BC12" s="38"/>
      <c r="BD12" s="38"/>
      <c r="BE12" s="38"/>
      <c r="BF12" s="38"/>
      <c r="BG12" s="38"/>
      <c r="BH12" s="38"/>
      <c r="BI12" s="38"/>
      <c r="BJ12" s="38"/>
      <c r="BK12" s="38"/>
      <c r="BL12" s="38"/>
      <c r="BM12" s="18"/>
      <c r="BN12" s="18"/>
      <c r="BO12" s="18"/>
      <c r="BP12" s="18"/>
    </row>
    <row r="13" spans="2:68" ht="18.600000000000001" thickBot="1" x14ac:dyDescent="0.4">
      <c r="B13" s="358">
        <v>960</v>
      </c>
      <c r="C13" s="184">
        <v>1</v>
      </c>
      <c r="D13" s="357">
        <v>8.0072431961680905</v>
      </c>
      <c r="E13" s="175"/>
      <c r="F13" s="101">
        <f t="shared" si="0"/>
        <v>93.75</v>
      </c>
      <c r="G13" s="102">
        <f t="shared" si="1"/>
        <v>8.3408783293417738E-3</v>
      </c>
      <c r="H13" s="103">
        <f t="shared" si="2"/>
        <v>1</v>
      </c>
      <c r="I13" s="18"/>
      <c r="J13" s="18"/>
      <c r="K13" s="18"/>
      <c r="L13" s="28"/>
      <c r="M13" s="172"/>
      <c r="U13" s="167"/>
      <c r="V13" s="170" t="e">
        <f>VLOOKUP(O14,kitchen_heat,2,TRUE)</f>
        <v>#N/A</v>
      </c>
      <c r="W13" s="8" t="s">
        <v>30</v>
      </c>
      <c r="X13" t="s">
        <v>54</v>
      </c>
      <c r="Y13" s="37"/>
      <c r="Z13" s="37"/>
      <c r="AA13" s="37"/>
      <c r="AF13" s="37"/>
      <c r="AG13" s="37"/>
      <c r="AK13" s="38"/>
      <c r="AL13" s="219"/>
      <c r="AM13" s="38"/>
      <c r="AN13" s="298"/>
      <c r="AO13" s="38"/>
      <c r="AP13" s="38"/>
      <c r="AQ13" s="38"/>
      <c r="AR13" s="38"/>
      <c r="AS13" s="293"/>
      <c r="AT13" s="38"/>
      <c r="AU13" s="293"/>
      <c r="AV13" s="293"/>
      <c r="AW13" s="293"/>
      <c r="AX13" s="38"/>
      <c r="AY13" s="38"/>
      <c r="AZ13" s="293"/>
      <c r="BA13" s="38"/>
      <c r="BB13" s="299"/>
      <c r="BC13" s="38"/>
      <c r="BD13" s="38"/>
      <c r="BE13" s="302"/>
      <c r="BF13" s="38"/>
      <c r="BG13" s="38"/>
      <c r="BH13" s="38"/>
      <c r="BI13" s="38"/>
      <c r="BJ13" s="38"/>
      <c r="BK13" s="38"/>
      <c r="BL13" s="38"/>
      <c r="BM13" s="18"/>
      <c r="BN13" s="18"/>
      <c r="BO13" s="18"/>
      <c r="BP13" s="18"/>
    </row>
    <row r="14" spans="2:68" ht="16.2" thickBot="1" x14ac:dyDescent="0.35">
      <c r="B14" s="188">
        <v>1480</v>
      </c>
      <c r="C14" s="184">
        <v>1</v>
      </c>
      <c r="D14" s="186">
        <v>12.3296239139944</v>
      </c>
      <c r="E14" s="175"/>
      <c r="F14" s="101">
        <f t="shared" si="0"/>
        <v>120</v>
      </c>
      <c r="G14" s="102">
        <f t="shared" si="1"/>
        <v>8.3408783293417617E-3</v>
      </c>
      <c r="H14" s="103">
        <f t="shared" si="2"/>
        <v>1</v>
      </c>
      <c r="I14" s="18"/>
      <c r="J14" s="18"/>
      <c r="K14" s="18"/>
      <c r="L14" s="28"/>
      <c r="M14" s="172"/>
      <c r="N14" s="165" t="s">
        <v>8</v>
      </c>
      <c r="O14" s="166" t="e">
        <f>(O12/Calculations!S12)*1000</f>
        <v>#N/A</v>
      </c>
      <c r="P14" s="82" t="s">
        <v>18</v>
      </c>
      <c r="U14" s="37"/>
      <c r="V14" s="168" t="e">
        <f>V13*(O12*1000)</f>
        <v>#N/A</v>
      </c>
      <c r="W14" s="8" t="s">
        <v>33</v>
      </c>
      <c r="X14" s="37"/>
      <c r="Y14" s="37"/>
      <c r="Z14" s="37"/>
      <c r="AA14" s="37"/>
      <c r="AF14" s="191"/>
      <c r="AG14" s="37"/>
      <c r="AH14" s="37"/>
      <c r="AK14" s="38"/>
      <c r="AL14" s="38"/>
      <c r="AM14" s="38"/>
      <c r="AN14" s="38"/>
      <c r="AO14" s="38"/>
      <c r="AP14" s="38"/>
      <c r="AQ14" s="38"/>
      <c r="AR14" s="38"/>
      <c r="AS14" s="293"/>
      <c r="AT14" s="293"/>
      <c r="AU14" s="293"/>
      <c r="AV14" s="293"/>
      <c r="AW14" s="293"/>
      <c r="AX14" s="293"/>
      <c r="AY14" s="293"/>
      <c r="AZ14" s="293"/>
      <c r="BA14" s="38"/>
      <c r="BB14" s="38"/>
      <c r="BC14" s="38"/>
      <c r="BD14" s="38"/>
      <c r="BE14" s="38"/>
      <c r="BF14" s="38"/>
      <c r="BG14" s="38"/>
      <c r="BH14" s="38"/>
      <c r="BI14" s="38"/>
      <c r="BJ14" s="38"/>
      <c r="BK14" s="38"/>
      <c r="BL14" s="38"/>
      <c r="BM14" s="18"/>
      <c r="BN14" s="18"/>
      <c r="BO14" s="18"/>
      <c r="BP14" s="18"/>
    </row>
    <row r="15" spans="2:68" ht="16.2" thickBot="1" x14ac:dyDescent="0.35">
      <c r="B15" s="188">
        <v>1600</v>
      </c>
      <c r="C15" s="184">
        <v>1</v>
      </c>
      <c r="D15" s="186">
        <v>13.3115353558865</v>
      </c>
      <c r="E15" s="175"/>
      <c r="F15" s="101">
        <f t="shared" si="0"/>
        <v>185</v>
      </c>
      <c r="G15" s="102">
        <f t="shared" si="1"/>
        <v>8.3308269689151351E-3</v>
      </c>
      <c r="H15" s="103">
        <f t="shared" si="2"/>
        <v>1</v>
      </c>
      <c r="I15" s="18"/>
      <c r="J15" s="18"/>
      <c r="K15" s="18"/>
      <c r="L15" s="28"/>
      <c r="M15" s="172"/>
      <c r="U15" s="37"/>
      <c r="V15" s="169" t="e">
        <f>V14*'Results !'!H3</f>
        <v>#N/A</v>
      </c>
      <c r="W15" s="10" t="s">
        <v>107</v>
      </c>
      <c r="X15" s="37"/>
      <c r="Y15" s="37"/>
      <c r="Z15" s="37"/>
      <c r="AA15" s="37"/>
      <c r="AF15" s="37"/>
      <c r="AG15" s="37"/>
      <c r="AH15" s="37"/>
      <c r="AK15" s="38"/>
      <c r="AL15" s="293"/>
      <c r="AM15" s="293"/>
      <c r="AN15" s="293"/>
      <c r="AO15" s="293"/>
      <c r="AP15" s="293"/>
      <c r="AQ15" s="293"/>
      <c r="AR15" s="293"/>
      <c r="AS15" s="293"/>
      <c r="AT15" s="293"/>
      <c r="AU15" s="293"/>
      <c r="AV15" s="293"/>
      <c r="AW15" s="293"/>
      <c r="AX15" s="293"/>
      <c r="AY15" s="293"/>
      <c r="AZ15" s="293"/>
      <c r="BA15" s="38"/>
      <c r="BB15" s="38"/>
      <c r="BC15" s="38"/>
      <c r="BD15" s="38"/>
      <c r="BE15" s="38"/>
      <c r="BF15" s="38"/>
      <c r="BG15" s="38"/>
      <c r="BH15" s="38"/>
      <c r="BI15" s="38"/>
      <c r="BJ15" s="38"/>
      <c r="BK15" s="38"/>
      <c r="BL15" s="38"/>
      <c r="BM15" s="18"/>
      <c r="BN15" s="18"/>
      <c r="BO15" s="18"/>
      <c r="BP15" s="18"/>
    </row>
    <row r="16" spans="2:68" x14ac:dyDescent="0.3">
      <c r="B16" s="188">
        <v>2000</v>
      </c>
      <c r="C16" s="184">
        <v>1</v>
      </c>
      <c r="D16" s="186">
        <v>16.483958728052102</v>
      </c>
      <c r="E16" s="175"/>
      <c r="F16" s="101">
        <f t="shared" si="0"/>
        <v>200</v>
      </c>
      <c r="G16" s="102">
        <f t="shared" si="1"/>
        <v>8.3197095974290626E-3</v>
      </c>
      <c r="H16" s="103">
        <f t="shared" si="2"/>
        <v>1</v>
      </c>
      <c r="I16" s="18"/>
      <c r="J16" s="18"/>
      <c r="K16" s="18"/>
      <c r="L16" s="28"/>
      <c r="M16" s="172"/>
      <c r="N16" s="20"/>
      <c r="O16" s="20"/>
      <c r="P16" s="20"/>
      <c r="U16" s="37"/>
      <c r="V16" s="3"/>
      <c r="W16" s="7"/>
      <c r="X16" s="37"/>
      <c r="Y16" s="37"/>
      <c r="Z16" s="37"/>
      <c r="AA16" s="37"/>
      <c r="AF16" s="37"/>
      <c r="AG16" s="37"/>
      <c r="AH16" s="37"/>
      <c r="AK16" s="38"/>
      <c r="AL16" s="38"/>
      <c r="AM16" s="38"/>
      <c r="AN16" s="38"/>
      <c r="AO16" s="38"/>
      <c r="AP16" s="38"/>
      <c r="AQ16" s="38"/>
      <c r="AR16" s="38"/>
      <c r="AS16" s="38"/>
      <c r="AT16" s="38"/>
      <c r="AU16" s="38"/>
      <c r="AV16" s="38"/>
      <c r="AW16" s="38"/>
      <c r="AX16" s="38"/>
      <c r="AY16" s="38"/>
      <c r="AZ16" s="38"/>
      <c r="BA16" s="38"/>
      <c r="BB16" s="219"/>
      <c r="BC16" s="38"/>
      <c r="BD16" s="38"/>
      <c r="BE16" s="4"/>
      <c r="BF16" s="4"/>
      <c r="BG16" s="4"/>
      <c r="BH16" s="38"/>
      <c r="BI16" s="38"/>
      <c r="BJ16" s="38"/>
      <c r="BK16" s="38"/>
      <c r="BL16" s="38"/>
      <c r="BM16" s="18"/>
      <c r="BN16" s="18"/>
      <c r="BO16" s="18"/>
      <c r="BP16" s="18"/>
    </row>
    <row r="17" spans="2:68" ht="18" x14ac:dyDescent="0.3">
      <c r="B17" s="188">
        <v>3120</v>
      </c>
      <c r="C17" s="184">
        <v>1</v>
      </c>
      <c r="D17" s="186">
        <v>24.278557294993799</v>
      </c>
      <c r="E17" s="175"/>
      <c r="F17" s="101">
        <f t="shared" si="0"/>
        <v>250</v>
      </c>
      <c r="G17" s="102">
        <f t="shared" si="1"/>
        <v>8.2419793640260506E-3</v>
      </c>
      <c r="H17" s="103">
        <f t="shared" si="2"/>
        <v>1</v>
      </c>
      <c r="I17" s="18"/>
      <c r="J17" s="18"/>
      <c r="K17" s="18"/>
      <c r="L17" s="28"/>
      <c r="M17" s="172"/>
      <c r="N17" s="20"/>
      <c r="O17" s="20"/>
      <c r="P17" s="20"/>
      <c r="U17" s="37"/>
      <c r="X17" s="37"/>
      <c r="Y17" s="37"/>
      <c r="Z17" s="37"/>
      <c r="AA17" s="37"/>
      <c r="AF17" s="37"/>
      <c r="AG17" s="37"/>
      <c r="AH17" s="37"/>
      <c r="AK17" s="38"/>
      <c r="AL17" s="303"/>
      <c r="AM17" s="44"/>
      <c r="AN17" s="44"/>
      <c r="AO17" s="44"/>
      <c r="AP17" s="44"/>
      <c r="AQ17" s="44"/>
      <c r="AR17" s="44"/>
      <c r="AS17" s="44"/>
      <c r="AT17" s="44"/>
      <c r="AU17" s="44"/>
      <c r="AV17" s="44"/>
      <c r="AW17" s="44"/>
      <c r="AX17" s="44"/>
      <c r="AY17" s="44"/>
      <c r="AZ17" s="38"/>
      <c r="BA17" s="38"/>
      <c r="BB17" s="38"/>
      <c r="BC17" s="38"/>
      <c r="BD17" s="38"/>
      <c r="BE17" s="38"/>
      <c r="BF17" s="38"/>
      <c r="BG17" s="38"/>
      <c r="BH17" s="38"/>
      <c r="BI17" s="38"/>
      <c r="BJ17" s="38"/>
      <c r="BK17" s="38"/>
      <c r="BL17" s="38"/>
      <c r="BM17" s="18"/>
      <c r="BN17" s="18"/>
      <c r="BO17" s="18"/>
      <c r="BP17" s="18"/>
    </row>
    <row r="18" spans="2:68" x14ac:dyDescent="0.3">
      <c r="B18" s="188">
        <v>4810</v>
      </c>
      <c r="C18" s="184">
        <v>2</v>
      </c>
      <c r="D18" s="186">
        <v>38.997838698067497</v>
      </c>
      <c r="E18" s="175"/>
      <c r="F18" s="101">
        <f t="shared" si="0"/>
        <v>390</v>
      </c>
      <c r="G18" s="102">
        <f t="shared" si="1"/>
        <v>7.7815888766005767E-3</v>
      </c>
      <c r="H18" s="103">
        <f t="shared" si="2"/>
        <v>1</v>
      </c>
      <c r="I18" s="18"/>
      <c r="J18" s="18"/>
      <c r="K18" s="18"/>
      <c r="L18" s="28"/>
      <c r="M18" s="172"/>
      <c r="N18" s="20"/>
      <c r="O18" s="20"/>
      <c r="P18" s="20"/>
      <c r="V18" s="37"/>
      <c r="W18" s="37"/>
      <c r="X18" s="37"/>
      <c r="Y18" s="37"/>
      <c r="Z18" s="37"/>
      <c r="AD18" s="37"/>
      <c r="AE18" s="37"/>
      <c r="AF18" s="37"/>
      <c r="AG18" s="37"/>
      <c r="AH18" s="37"/>
      <c r="AK18" s="38"/>
      <c r="AL18" s="38"/>
      <c r="AM18" s="38"/>
      <c r="AN18" s="38"/>
      <c r="AO18" s="38"/>
      <c r="AP18" s="38"/>
      <c r="AQ18" s="38"/>
      <c r="AR18" s="38"/>
      <c r="AS18" s="38"/>
      <c r="AT18" s="38"/>
      <c r="AU18" s="38"/>
      <c r="AV18" s="38"/>
      <c r="AW18" s="38"/>
      <c r="AX18" s="38"/>
      <c r="AY18" s="38"/>
      <c r="AZ18" s="38"/>
      <c r="BA18" s="38"/>
      <c r="BB18" s="219"/>
      <c r="BC18" s="38"/>
      <c r="BD18" s="38"/>
      <c r="BE18" s="304"/>
      <c r="BF18" s="38"/>
      <c r="BG18" s="236"/>
      <c r="BH18" s="38"/>
      <c r="BI18" s="38"/>
      <c r="BJ18" s="38"/>
      <c r="BK18" s="38"/>
      <c r="BL18" s="38"/>
      <c r="BM18" s="18"/>
      <c r="BN18" s="18"/>
      <c r="BO18" s="18"/>
      <c r="BP18" s="18"/>
    </row>
    <row r="19" spans="2:68" x14ac:dyDescent="0.3">
      <c r="B19" s="188">
        <v>5200</v>
      </c>
      <c r="C19" s="184">
        <v>2</v>
      </c>
      <c r="D19" s="186">
        <v>41.743038901060999</v>
      </c>
      <c r="E19" s="175"/>
      <c r="F19" s="101">
        <f t="shared" si="0"/>
        <v>601.25</v>
      </c>
      <c r="G19" s="102">
        <f t="shared" si="1"/>
        <v>8.1076587729870062E-3</v>
      </c>
      <c r="H19" s="103">
        <f t="shared" si="2"/>
        <v>2</v>
      </c>
      <c r="I19" s="18"/>
      <c r="J19" s="18"/>
      <c r="K19" s="18"/>
      <c r="L19" s="28"/>
      <c r="M19" s="172"/>
      <c r="N19" s="20"/>
      <c r="O19" s="20"/>
      <c r="P19" s="20"/>
      <c r="V19" s="37"/>
      <c r="W19" s="37"/>
      <c r="X19" s="37"/>
      <c r="Y19" s="37"/>
      <c r="Z19" s="37"/>
      <c r="AD19" s="37"/>
      <c r="AE19" s="37"/>
      <c r="AF19" s="37"/>
      <c r="AG19" s="37"/>
      <c r="AK19" s="38"/>
      <c r="AL19" s="38"/>
      <c r="AM19" s="38"/>
      <c r="AN19" s="236"/>
      <c r="AO19" s="38"/>
      <c r="AP19" s="38"/>
      <c r="AQ19" s="38"/>
      <c r="AR19" s="38"/>
      <c r="AS19" s="38"/>
      <c r="AT19" s="38"/>
      <c r="AU19" s="38"/>
      <c r="AV19" s="38"/>
      <c r="AW19" s="38"/>
      <c r="AX19" s="38"/>
      <c r="AY19" s="38"/>
      <c r="AZ19" s="38"/>
      <c r="BA19" s="38"/>
      <c r="BB19" s="38"/>
      <c r="BC19" s="38"/>
      <c r="BD19" s="38"/>
      <c r="BE19" s="38"/>
      <c r="BF19" s="38"/>
      <c r="BG19" s="236"/>
      <c r="BH19" s="38"/>
      <c r="BI19" s="38"/>
      <c r="BJ19" s="38"/>
      <c r="BK19" s="38"/>
      <c r="BL19" s="38"/>
      <c r="BM19" s="18"/>
      <c r="BN19" s="18"/>
      <c r="BO19" s="18"/>
      <c r="BP19" s="18"/>
    </row>
    <row r="20" spans="2:68" ht="17.399999999999999" customHeight="1" x14ac:dyDescent="0.3">
      <c r="B20" s="188">
        <v>6000</v>
      </c>
      <c r="C20" s="184">
        <v>2</v>
      </c>
      <c r="D20" s="186">
        <v>47.0494054908186</v>
      </c>
      <c r="E20" s="175"/>
      <c r="F20" s="101">
        <f t="shared" si="0"/>
        <v>650</v>
      </c>
      <c r="G20" s="102">
        <f t="shared" si="1"/>
        <v>8.0275074809732696E-3</v>
      </c>
      <c r="H20" s="103">
        <f t="shared" si="2"/>
        <v>2</v>
      </c>
      <c r="I20" s="18"/>
      <c r="J20" s="18"/>
      <c r="K20" s="18"/>
      <c r="L20" s="28"/>
      <c r="M20" s="173"/>
      <c r="N20" s="1"/>
      <c r="P20" s="20"/>
      <c r="V20" s="37"/>
      <c r="W20" s="37"/>
      <c r="X20" s="37"/>
      <c r="Y20" s="37"/>
      <c r="Z20" s="37"/>
      <c r="AD20" s="37"/>
      <c r="AE20" s="37"/>
      <c r="AF20" s="37"/>
      <c r="AG20" s="37"/>
      <c r="AK20" s="38"/>
      <c r="AL20" s="38"/>
      <c r="AM20" s="38"/>
      <c r="AN20" s="38"/>
      <c r="AO20" s="38"/>
      <c r="AP20" s="38"/>
      <c r="AQ20" s="293"/>
      <c r="AR20" s="293"/>
      <c r="AS20" s="293"/>
      <c r="AT20" s="293"/>
      <c r="AU20" s="293"/>
      <c r="AV20" s="293"/>
      <c r="AW20" s="293"/>
      <c r="AX20" s="293"/>
      <c r="AY20" s="293"/>
      <c r="AZ20" s="38"/>
      <c r="BA20" s="38"/>
      <c r="BB20" s="38"/>
      <c r="BC20" s="38"/>
      <c r="BD20" s="38"/>
      <c r="BE20" s="304"/>
      <c r="BF20" s="38"/>
      <c r="BG20" s="236"/>
      <c r="BH20" s="38"/>
      <c r="BI20" s="38"/>
      <c r="BJ20" s="38"/>
      <c r="BK20" s="38"/>
      <c r="BL20" s="38"/>
      <c r="BM20" s="18"/>
      <c r="BN20" s="18"/>
      <c r="BO20" s="18"/>
      <c r="BP20" s="18"/>
    </row>
    <row r="21" spans="2:68" ht="16.2" customHeight="1" x14ac:dyDescent="0.3">
      <c r="B21" s="188">
        <v>6500</v>
      </c>
      <c r="C21" s="184">
        <v>2</v>
      </c>
      <c r="D21" s="186">
        <v>50.148312369563797</v>
      </c>
      <c r="E21" s="175"/>
      <c r="F21" s="101">
        <f t="shared" si="0"/>
        <v>750</v>
      </c>
      <c r="G21" s="102">
        <f t="shared" si="1"/>
        <v>7.8415675818030994E-3</v>
      </c>
      <c r="H21" s="103">
        <f t="shared" si="2"/>
        <v>2</v>
      </c>
      <c r="I21" s="18"/>
      <c r="J21" s="18"/>
      <c r="K21" s="18"/>
      <c r="L21" s="28"/>
      <c r="M21" s="172"/>
      <c r="P21" s="20"/>
      <c r="V21" s="37"/>
      <c r="W21" s="11"/>
      <c r="X21" s="37"/>
      <c r="Y21" s="37"/>
      <c r="Z21" s="37"/>
      <c r="AD21" s="37"/>
      <c r="AE21" s="37"/>
      <c r="AF21" s="37"/>
      <c r="AG21" s="37"/>
      <c r="AK21" s="38"/>
      <c r="AL21" s="38"/>
      <c r="AM21" s="38"/>
      <c r="AN21" s="38"/>
      <c r="AO21" s="38"/>
      <c r="AP21" s="38"/>
      <c r="AQ21" s="293"/>
      <c r="AR21" s="293"/>
      <c r="AS21" s="293"/>
      <c r="AT21" s="293"/>
      <c r="AU21" s="293"/>
      <c r="AV21" s="293"/>
      <c r="AW21" s="293"/>
      <c r="AX21" s="293"/>
      <c r="AY21" s="293"/>
      <c r="AZ21" s="38"/>
      <c r="BA21" s="38"/>
      <c r="BB21" s="38"/>
      <c r="BC21" s="38"/>
      <c r="BD21" s="38"/>
      <c r="BE21" s="38"/>
      <c r="BF21" s="38"/>
      <c r="BG21" s="236"/>
      <c r="BH21" s="38"/>
      <c r="BI21" s="38"/>
      <c r="BJ21" s="38"/>
      <c r="BK21" s="38"/>
      <c r="BL21" s="38"/>
      <c r="BM21" s="18"/>
      <c r="BN21" s="18"/>
      <c r="BO21" s="18"/>
      <c r="BP21" s="18"/>
    </row>
    <row r="22" spans="2:68" ht="18" customHeight="1" x14ac:dyDescent="0.3">
      <c r="B22" s="188">
        <v>9250</v>
      </c>
      <c r="C22" s="184">
        <v>3</v>
      </c>
      <c r="D22" s="186">
        <v>72.1506121677631</v>
      </c>
      <c r="E22" s="175"/>
      <c r="F22" s="101">
        <f t="shared" si="0"/>
        <v>812.5</v>
      </c>
      <c r="G22" s="102">
        <f t="shared" si="1"/>
        <v>7.7151249799328921E-3</v>
      </c>
      <c r="H22" s="103">
        <f t="shared" si="2"/>
        <v>2</v>
      </c>
      <c r="I22" s="18"/>
      <c r="J22" s="18"/>
      <c r="K22" s="18"/>
      <c r="L22" s="28"/>
      <c r="M22" s="172"/>
      <c r="N22" s="1"/>
      <c r="P22" s="20"/>
      <c r="V22" s="37"/>
      <c r="W22" s="37"/>
      <c r="X22" s="37"/>
      <c r="Y22" s="37"/>
      <c r="Z22" s="37"/>
      <c r="AD22" s="37"/>
      <c r="AE22" s="37"/>
      <c r="AF22" s="37"/>
      <c r="AG22" s="37"/>
      <c r="AK22" s="38"/>
      <c r="AL22" s="38"/>
      <c r="AM22" s="38"/>
      <c r="AN22" s="236"/>
      <c r="AO22" s="38"/>
      <c r="AP22" s="38"/>
      <c r="AQ22" s="293"/>
      <c r="AR22" s="293"/>
      <c r="AS22" s="293"/>
      <c r="AT22" s="293"/>
      <c r="AU22" s="293"/>
      <c r="AV22" s="293"/>
      <c r="AW22" s="293"/>
      <c r="AX22" s="293"/>
      <c r="AY22" s="293"/>
      <c r="AZ22" s="293"/>
      <c r="BA22" s="293"/>
      <c r="BB22" s="219"/>
      <c r="BC22" s="38"/>
      <c r="BD22" s="38"/>
      <c r="BE22" s="305"/>
      <c r="BF22" s="38"/>
      <c r="BG22" s="306"/>
      <c r="BH22" s="38"/>
      <c r="BI22" s="38"/>
      <c r="BJ22" s="38"/>
      <c r="BK22" s="38"/>
      <c r="BL22" s="38"/>
      <c r="BM22" s="18"/>
      <c r="BN22" s="18"/>
      <c r="BO22" s="18"/>
      <c r="BP22" s="18"/>
    </row>
    <row r="23" spans="2:68" ht="15.6" x14ac:dyDescent="0.3">
      <c r="B23" s="188">
        <v>10000</v>
      </c>
      <c r="C23" s="184">
        <v>3</v>
      </c>
      <c r="D23" s="186">
        <v>76.718622629234702</v>
      </c>
      <c r="E23" s="175"/>
      <c r="F23" s="101">
        <f t="shared" si="0"/>
        <v>1156.25</v>
      </c>
      <c r="G23" s="102">
        <f t="shared" si="1"/>
        <v>7.8000661802987139E-3</v>
      </c>
      <c r="H23" s="103">
        <f t="shared" si="2"/>
        <v>3</v>
      </c>
      <c r="I23" s="18"/>
      <c r="J23" s="18"/>
      <c r="K23" s="18"/>
      <c r="L23" s="28"/>
      <c r="M23" s="172"/>
      <c r="P23" s="20"/>
      <c r="V23" s="37"/>
      <c r="W23" s="11"/>
      <c r="X23" s="37"/>
      <c r="Y23" s="37"/>
      <c r="Z23" s="37"/>
      <c r="AD23" s="37"/>
      <c r="AE23" s="37"/>
      <c r="AF23" s="37"/>
      <c r="AG23" s="37"/>
      <c r="AK23" s="38"/>
      <c r="AL23" s="38"/>
      <c r="AM23" s="38"/>
      <c r="AN23" s="38"/>
      <c r="AO23" s="38"/>
      <c r="AP23" s="38"/>
      <c r="AQ23" s="38"/>
      <c r="AR23" s="38"/>
      <c r="AS23" s="38"/>
      <c r="AT23" s="38"/>
      <c r="AU23" s="38"/>
      <c r="AV23" s="38"/>
      <c r="AW23" s="38"/>
      <c r="AX23" s="38"/>
      <c r="AY23" s="38"/>
      <c r="AZ23" s="293"/>
      <c r="BA23" s="293"/>
      <c r="BB23" s="293"/>
      <c r="BC23" s="38"/>
      <c r="BD23" s="38"/>
      <c r="BE23" s="38"/>
      <c r="BF23" s="38"/>
      <c r="BG23" s="236"/>
      <c r="BH23" s="38"/>
      <c r="BI23" s="38"/>
      <c r="BJ23" s="38"/>
      <c r="BK23" s="38"/>
      <c r="BL23" s="38"/>
      <c r="BM23" s="18"/>
      <c r="BN23" s="18"/>
      <c r="BO23" s="18"/>
      <c r="BP23" s="18"/>
    </row>
    <row r="24" spans="2:68" ht="15" thickBot="1" x14ac:dyDescent="0.35">
      <c r="B24" s="189">
        <v>12500</v>
      </c>
      <c r="C24" s="185">
        <v>4</v>
      </c>
      <c r="D24" s="187">
        <v>97.238220434328298</v>
      </c>
      <c r="E24" s="175"/>
      <c r="F24" s="101">
        <f t="shared" si="0"/>
        <v>1250</v>
      </c>
      <c r="G24" s="102">
        <f t="shared" si="1"/>
        <v>7.6718622629234701E-3</v>
      </c>
      <c r="H24" s="103">
        <f t="shared" si="2"/>
        <v>3</v>
      </c>
      <c r="I24" s="18"/>
      <c r="J24" s="18"/>
      <c r="K24" s="18"/>
      <c r="L24" s="28"/>
      <c r="M24" s="172"/>
      <c r="N24" s="35"/>
      <c r="P24" s="20"/>
      <c r="V24" s="37"/>
      <c r="W24" s="37"/>
      <c r="X24" s="37"/>
      <c r="Y24" s="37"/>
      <c r="Z24" s="37"/>
      <c r="AD24" s="37"/>
      <c r="AE24" s="37"/>
      <c r="AF24" s="37"/>
      <c r="AG24" s="37"/>
      <c r="AK24" s="38"/>
      <c r="AL24" s="38"/>
      <c r="AM24" s="38"/>
      <c r="AN24" s="38"/>
      <c r="AO24" s="38"/>
      <c r="AP24" s="38"/>
      <c r="AQ24" s="38"/>
      <c r="AR24" s="38"/>
      <c r="AS24" s="38"/>
      <c r="AT24" s="38"/>
      <c r="AU24" s="38"/>
      <c r="AV24" s="38"/>
      <c r="AW24" s="38"/>
      <c r="AX24" s="38"/>
      <c r="AY24" s="38"/>
      <c r="AZ24" s="38"/>
      <c r="BA24" s="38"/>
      <c r="BB24" s="38"/>
      <c r="BC24" s="38"/>
      <c r="BD24" s="38"/>
      <c r="BE24" s="304"/>
      <c r="BF24" s="38"/>
      <c r="BG24" s="236"/>
      <c r="BH24" s="38"/>
      <c r="BI24" s="38"/>
      <c r="BJ24" s="38"/>
      <c r="BK24" s="38"/>
      <c r="BL24" s="38"/>
      <c r="BM24" s="18"/>
      <c r="BN24" s="18"/>
      <c r="BO24" s="18"/>
      <c r="BP24" s="18"/>
    </row>
    <row r="25" spans="2:68" ht="16.2" thickBot="1" x14ac:dyDescent="0.35">
      <c r="B25" s="370" t="s">
        <v>281</v>
      </c>
      <c r="D25" s="175"/>
      <c r="E25" s="175"/>
      <c r="F25" s="104">
        <f t="shared" si="0"/>
        <v>1562.5</v>
      </c>
      <c r="G25" s="105">
        <f t="shared" si="1"/>
        <v>7.779057634746264E-3</v>
      </c>
      <c r="H25" s="106">
        <f t="shared" si="2"/>
        <v>4</v>
      </c>
      <c r="I25" s="18"/>
      <c r="J25" s="18"/>
      <c r="K25" s="18"/>
      <c r="L25" s="28"/>
      <c r="M25" s="172"/>
      <c r="V25" s="37"/>
      <c r="W25" s="11"/>
      <c r="X25" s="37"/>
      <c r="Y25" s="37"/>
      <c r="Z25" s="37"/>
      <c r="AD25" s="37"/>
      <c r="AE25" s="37"/>
      <c r="AF25" s="37"/>
      <c r="AG25" s="37"/>
      <c r="AK25" s="38"/>
      <c r="AL25" s="219"/>
      <c r="AM25" s="38"/>
      <c r="AN25" s="236"/>
      <c r="AO25" s="38"/>
      <c r="AP25" s="38"/>
      <c r="AQ25" s="38"/>
      <c r="AR25" s="38"/>
      <c r="AS25" s="38"/>
      <c r="AT25" s="38"/>
      <c r="AU25" s="38"/>
      <c r="AV25" s="38"/>
      <c r="AW25" s="38"/>
      <c r="AX25" s="38"/>
      <c r="AY25" s="38"/>
      <c r="AZ25" s="293"/>
      <c r="BA25" s="293"/>
      <c r="BB25" s="293"/>
      <c r="BC25" s="38"/>
      <c r="BD25" s="38"/>
      <c r="BE25" s="38"/>
      <c r="BF25" s="38"/>
      <c r="BG25" s="236"/>
      <c r="BH25" s="38"/>
      <c r="BI25" s="38"/>
      <c r="BJ25" s="38"/>
      <c r="BK25" s="38"/>
      <c r="BL25" s="38"/>
      <c r="BM25" s="18"/>
      <c r="BN25" s="18"/>
      <c r="BO25" s="18"/>
      <c r="BP25" s="18"/>
    </row>
    <row r="26" spans="2:68" ht="15" thickBot="1" x14ac:dyDescent="0.35">
      <c r="B26" s="18" t="s">
        <v>162</v>
      </c>
      <c r="C26" s="18"/>
      <c r="D26" s="18"/>
      <c r="E26" s="18"/>
      <c r="F26" s="370" t="s">
        <v>292</v>
      </c>
      <c r="G26" s="18"/>
      <c r="H26" s="18"/>
      <c r="I26" s="18"/>
      <c r="J26" s="18"/>
      <c r="K26" s="18"/>
      <c r="L26" s="28"/>
      <c r="M26" s="172"/>
      <c r="N26" s="35"/>
      <c r="V26" s="37"/>
      <c r="W26" s="37"/>
      <c r="X26" s="37"/>
      <c r="Y26" s="37"/>
      <c r="Z26" s="37"/>
      <c r="AD26" s="37"/>
      <c r="AE26" s="37"/>
      <c r="AF26" s="37"/>
      <c r="AG26" s="37"/>
      <c r="AK26" s="38"/>
      <c r="AL26" s="38"/>
      <c r="AM26" s="38"/>
      <c r="AN26" s="38"/>
      <c r="AO26" s="38"/>
      <c r="AP26" s="38"/>
      <c r="AQ26" s="38"/>
      <c r="AR26" s="38"/>
      <c r="AS26" s="38"/>
      <c r="AT26" s="38"/>
      <c r="AU26" s="38"/>
      <c r="AV26" s="38"/>
      <c r="AW26" s="38"/>
      <c r="AX26" s="38"/>
      <c r="AY26" s="38"/>
      <c r="AZ26" s="38"/>
      <c r="BA26" s="38"/>
      <c r="BB26" s="219"/>
      <c r="BC26" s="38"/>
      <c r="BD26" s="38"/>
      <c r="BE26" s="305"/>
      <c r="BF26" s="38"/>
      <c r="BG26" s="306"/>
      <c r="BH26" s="38"/>
      <c r="BI26" s="38"/>
      <c r="BJ26" s="38"/>
      <c r="BK26" s="38"/>
      <c r="BL26" s="38"/>
      <c r="BM26" s="18"/>
      <c r="BN26" s="18"/>
      <c r="BO26" s="18"/>
      <c r="BP26" s="18"/>
    </row>
    <row r="27" spans="2:68" ht="16.2" thickBot="1" x14ac:dyDescent="0.35">
      <c r="B27" s="28" t="s">
        <v>16</v>
      </c>
      <c r="C27" s="176">
        <v>8</v>
      </c>
      <c r="D27" s="18" t="s">
        <v>17</v>
      </c>
      <c r="E27" s="18"/>
      <c r="F27" s="18"/>
      <c r="G27" s="18"/>
      <c r="H27" s="18"/>
      <c r="I27" s="18"/>
      <c r="J27" s="18"/>
      <c r="K27" s="18"/>
      <c r="L27" s="28"/>
      <c r="M27" s="172"/>
      <c r="N27" s="59"/>
      <c r="P27" s="37"/>
      <c r="Q27" s="37"/>
      <c r="R27" s="37"/>
      <c r="AD27" s="37"/>
      <c r="AE27" s="37"/>
      <c r="AF27" s="37"/>
      <c r="AG27" s="37"/>
      <c r="AK27" s="38"/>
      <c r="AL27" s="38"/>
      <c r="AM27" s="38"/>
      <c r="AN27" s="38"/>
      <c r="AO27" s="293"/>
      <c r="AP27" s="293"/>
      <c r="AQ27" s="38"/>
      <c r="AR27" s="38"/>
      <c r="AS27" s="38"/>
      <c r="AT27" s="38"/>
      <c r="AU27" s="38"/>
      <c r="AV27" s="38"/>
      <c r="AW27" s="38"/>
      <c r="AX27" s="38"/>
      <c r="AY27" s="38"/>
      <c r="AZ27" s="38"/>
      <c r="BA27" s="38"/>
      <c r="BB27" s="38"/>
      <c r="BC27" s="38"/>
      <c r="BD27" s="38"/>
      <c r="BE27" s="38"/>
      <c r="BF27" s="38"/>
      <c r="BG27" s="236"/>
      <c r="BH27" s="38"/>
      <c r="BI27" s="38"/>
      <c r="BJ27" s="38"/>
      <c r="BK27" s="38"/>
      <c r="BL27" s="38"/>
      <c r="BM27" s="18"/>
      <c r="BN27" s="18"/>
      <c r="BO27" s="18"/>
      <c r="BP27" s="18"/>
    </row>
    <row r="28" spans="2:68" ht="16.2" thickBot="1" x14ac:dyDescent="0.35">
      <c r="B28" s="18" t="s">
        <v>218</v>
      </c>
      <c r="C28" s="250">
        <v>10</v>
      </c>
      <c r="D28" s="18" t="s">
        <v>47</v>
      </c>
      <c r="E28" s="18"/>
      <c r="F28" s="18"/>
      <c r="G28" s="18"/>
      <c r="H28" s="18"/>
      <c r="I28" s="18"/>
      <c r="J28" s="18"/>
      <c r="K28" s="18"/>
      <c r="L28" s="28"/>
      <c r="M28" s="172"/>
      <c r="P28" s="37"/>
      <c r="Q28" s="37"/>
      <c r="R28" s="37"/>
      <c r="AD28" s="37"/>
      <c r="AE28" s="37"/>
      <c r="AF28" s="37"/>
      <c r="AG28" s="37"/>
      <c r="AK28" s="38"/>
      <c r="AL28" s="38"/>
      <c r="AM28" s="38"/>
      <c r="AN28" s="38"/>
      <c r="AO28" s="293"/>
      <c r="AP28" s="293"/>
      <c r="AQ28" s="38"/>
      <c r="AR28" s="38"/>
      <c r="AS28" s="38"/>
      <c r="AT28" s="38"/>
      <c r="AU28" s="38"/>
      <c r="AV28" s="38"/>
      <c r="AW28" s="38"/>
      <c r="AX28" s="38"/>
      <c r="AY28" s="38"/>
      <c r="AZ28" s="38"/>
      <c r="BA28" s="38"/>
      <c r="BB28" s="38"/>
      <c r="BC28" s="38"/>
      <c r="BD28" s="38"/>
      <c r="BE28" s="304"/>
      <c r="BF28" s="38"/>
      <c r="BG28" s="236"/>
      <c r="BH28" s="38"/>
      <c r="BI28" s="38"/>
      <c r="BJ28" s="38"/>
      <c r="BK28" s="38"/>
      <c r="BL28" s="38"/>
      <c r="BM28" s="18"/>
      <c r="BN28" s="18"/>
      <c r="BO28" s="18"/>
      <c r="BP28" s="18"/>
    </row>
    <row r="29" spans="2:68" ht="15.6" x14ac:dyDescent="0.3">
      <c r="E29" s="18"/>
      <c r="F29" s="18"/>
      <c r="G29" s="18"/>
      <c r="H29" s="18"/>
      <c r="I29" s="18"/>
      <c r="J29" s="18"/>
      <c r="K29" s="18"/>
      <c r="L29" s="28"/>
      <c r="M29" s="172"/>
      <c r="N29" s="35"/>
      <c r="P29" s="37"/>
      <c r="Q29" s="37"/>
      <c r="R29" s="37"/>
      <c r="AD29" s="37"/>
      <c r="AE29" s="37"/>
      <c r="AF29" s="37"/>
      <c r="AG29" s="37"/>
      <c r="AK29" s="38"/>
      <c r="AL29" s="38"/>
      <c r="AM29" s="38"/>
      <c r="AN29" s="38"/>
      <c r="AO29" s="293"/>
      <c r="AP29" s="293"/>
      <c r="AQ29" s="38"/>
      <c r="AR29" s="38"/>
      <c r="AS29" s="38"/>
      <c r="AT29" s="38"/>
      <c r="AU29" s="38"/>
      <c r="AV29" s="38"/>
      <c r="AW29" s="38"/>
      <c r="AX29" s="38"/>
      <c r="AY29" s="38"/>
      <c r="AZ29" s="44"/>
      <c r="BA29" s="44"/>
      <c r="BB29" s="44"/>
      <c r="BC29" s="44"/>
      <c r="BD29" s="44"/>
      <c r="BE29" s="44"/>
      <c r="BF29" s="38"/>
      <c r="BG29" s="38"/>
      <c r="BH29" s="38"/>
      <c r="BI29" s="38"/>
      <c r="BJ29" s="38"/>
      <c r="BK29" s="38"/>
      <c r="BL29" s="38"/>
      <c r="BM29" s="18"/>
      <c r="BN29" s="18"/>
      <c r="BO29" s="18"/>
      <c r="BP29" s="18"/>
    </row>
    <row r="30" spans="2:68" ht="15" thickBot="1" x14ac:dyDescent="0.35">
      <c r="B30" s="238" t="s">
        <v>165</v>
      </c>
      <c r="C30" s="266"/>
      <c r="D30" s="18"/>
      <c r="E30" s="18"/>
      <c r="F30" s="18"/>
      <c r="G30" s="18"/>
      <c r="H30" s="18"/>
      <c r="I30" s="18"/>
      <c r="J30" s="18"/>
      <c r="K30" s="18"/>
      <c r="L30" s="28"/>
      <c r="M30" s="172"/>
      <c r="P30" s="37"/>
      <c r="Q30" s="37"/>
      <c r="R30" s="37"/>
      <c r="AD30" s="37"/>
      <c r="AE30" s="37"/>
      <c r="AF30" s="37"/>
      <c r="AG30" s="37"/>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18"/>
      <c r="BN30" s="18"/>
      <c r="BO30" s="18"/>
      <c r="BP30" s="18"/>
    </row>
    <row r="31" spans="2:68" ht="18.600000000000001" thickBot="1" x14ac:dyDescent="0.4">
      <c r="B31" s="329" t="s">
        <v>31</v>
      </c>
      <c r="C31" s="286" t="s">
        <v>24</v>
      </c>
      <c r="D31" s="18"/>
      <c r="E31" s="18"/>
      <c r="F31" s="18"/>
      <c r="G31" s="18"/>
      <c r="H31" s="18"/>
      <c r="I31" s="18"/>
      <c r="J31" s="18"/>
      <c r="K31" s="18"/>
      <c r="L31" s="28"/>
      <c r="M31" s="172"/>
      <c r="N31" s="37"/>
      <c r="O31" s="38"/>
      <c r="P31" s="37"/>
      <c r="Q31" s="37"/>
      <c r="R31" s="37"/>
      <c r="AD31" s="37"/>
      <c r="AE31" s="37"/>
      <c r="AF31" s="37"/>
      <c r="AG31" s="37"/>
      <c r="AK31" s="38"/>
      <c r="AL31" s="307"/>
      <c r="AM31" s="293"/>
      <c r="AN31" s="308"/>
      <c r="AO31" s="38"/>
      <c r="AP31" s="38"/>
      <c r="AQ31" s="38"/>
      <c r="AR31" s="38"/>
      <c r="AS31" s="38"/>
      <c r="AT31" s="38"/>
      <c r="AU31" s="38"/>
      <c r="AV31" s="38"/>
      <c r="AW31" s="38"/>
      <c r="AX31" s="38"/>
      <c r="AY31" s="38"/>
      <c r="AZ31" s="38"/>
      <c r="BA31" s="38"/>
      <c r="BB31" s="219"/>
      <c r="BC31" s="38"/>
      <c r="BD31" s="38"/>
      <c r="BE31" s="38"/>
      <c r="BF31" s="38"/>
      <c r="BG31" s="38"/>
      <c r="BH31" s="38"/>
      <c r="BI31" s="38"/>
      <c r="BJ31" s="38"/>
      <c r="BK31" s="38"/>
      <c r="BL31" s="38"/>
      <c r="BM31" s="18"/>
      <c r="BN31" s="18"/>
      <c r="BO31" s="18"/>
      <c r="BP31" s="18"/>
    </row>
    <row r="32" spans="2:68" ht="15.6" x14ac:dyDescent="0.3">
      <c r="B32" s="330" t="s">
        <v>314</v>
      </c>
      <c r="C32" s="229"/>
      <c r="D32" s="18" t="s">
        <v>49</v>
      </c>
      <c r="E32" s="18"/>
      <c r="F32" s="18"/>
      <c r="G32" s="18"/>
      <c r="H32" s="18"/>
      <c r="I32" s="18"/>
      <c r="J32" s="18"/>
      <c r="K32" s="18"/>
      <c r="L32" s="28"/>
      <c r="M32" s="172"/>
      <c r="N32" s="219"/>
      <c r="O32" s="38"/>
      <c r="P32" s="37"/>
      <c r="Q32" s="37"/>
      <c r="R32" s="37"/>
      <c r="AD32" s="37"/>
      <c r="AE32" s="37"/>
      <c r="AF32" s="37"/>
      <c r="AG32" s="37"/>
      <c r="AK32" s="38"/>
      <c r="AL32" s="38"/>
      <c r="AM32" s="38"/>
      <c r="AN32" s="38"/>
      <c r="AO32" s="38"/>
      <c r="AP32" s="38"/>
      <c r="AQ32" s="38"/>
      <c r="AR32" s="38"/>
      <c r="AS32" s="38"/>
      <c r="AT32" s="38"/>
      <c r="AU32" s="38"/>
      <c r="AV32" s="38"/>
      <c r="AW32" s="38"/>
      <c r="AX32" s="38"/>
      <c r="AY32" s="38"/>
      <c r="AZ32" s="293"/>
      <c r="BA32" s="293"/>
      <c r="BB32" s="38"/>
      <c r="BC32" s="38"/>
      <c r="BD32" s="38"/>
      <c r="BE32" s="38"/>
      <c r="BF32" s="38"/>
      <c r="BG32" s="38"/>
      <c r="BH32" s="38"/>
      <c r="BI32" s="38"/>
      <c r="BJ32" s="38"/>
      <c r="BK32" s="38"/>
      <c r="BL32" s="38"/>
      <c r="BM32" s="18"/>
      <c r="BN32" s="18"/>
      <c r="BO32" s="18"/>
      <c r="BP32" s="18"/>
    </row>
    <row r="33" spans="1:68" ht="18" x14ac:dyDescent="0.3">
      <c r="B33" s="228" t="s">
        <v>52</v>
      </c>
      <c r="C33" s="229">
        <v>12</v>
      </c>
      <c r="D33" s="18" t="s">
        <v>48</v>
      </c>
      <c r="E33" s="18"/>
      <c r="F33" s="18"/>
      <c r="G33" s="18"/>
      <c r="H33" s="18"/>
      <c r="I33" s="18"/>
      <c r="J33" s="18"/>
      <c r="K33" s="18"/>
      <c r="L33" s="28"/>
      <c r="M33" s="172"/>
      <c r="N33" s="37"/>
      <c r="O33" s="235"/>
      <c r="P33" s="37"/>
      <c r="Q33" s="37"/>
      <c r="R33" s="37"/>
      <c r="AD33" s="37"/>
      <c r="AE33" s="37"/>
      <c r="AF33" s="37"/>
      <c r="AG33" s="37"/>
      <c r="AK33" s="38"/>
      <c r="AL33" s="296"/>
      <c r="AM33" s="38"/>
      <c r="AN33" s="38"/>
      <c r="AO33" s="38"/>
      <c r="AP33" s="38"/>
      <c r="AQ33" s="38"/>
      <c r="AR33" s="38"/>
      <c r="AS33" s="38"/>
      <c r="AT33" s="38"/>
      <c r="AU33" s="38"/>
      <c r="AV33" s="38"/>
      <c r="AW33" s="38"/>
      <c r="AX33" s="38"/>
      <c r="AY33" s="38"/>
      <c r="AZ33" s="293"/>
      <c r="BA33" s="293"/>
      <c r="BB33" s="38"/>
      <c r="BC33" s="38"/>
      <c r="BD33" s="38"/>
      <c r="BE33" s="38"/>
      <c r="BF33" s="38"/>
      <c r="BG33" s="38"/>
      <c r="BH33" s="38"/>
      <c r="BI33" s="38"/>
      <c r="BJ33" s="38"/>
      <c r="BK33" s="38"/>
      <c r="BL33" s="38"/>
      <c r="BM33" s="18"/>
      <c r="BN33" s="18"/>
      <c r="BO33" s="18"/>
      <c r="BP33" s="18"/>
    </row>
    <row r="34" spans="1:68" ht="15.6" x14ac:dyDescent="0.3">
      <c r="B34" s="228" t="s">
        <v>53</v>
      </c>
      <c r="C34" s="229">
        <v>18.5</v>
      </c>
      <c r="D34" s="18" t="s">
        <v>50</v>
      </c>
      <c r="E34" s="18"/>
      <c r="F34" s="18"/>
      <c r="G34" s="18"/>
      <c r="H34" s="18"/>
      <c r="I34" s="18"/>
      <c r="J34" s="18"/>
      <c r="K34" s="18"/>
      <c r="L34" s="28"/>
      <c r="M34" s="172"/>
      <c r="N34" s="37"/>
      <c r="O34" s="38"/>
      <c r="P34" s="37"/>
      <c r="Q34" s="37"/>
      <c r="R34" s="37"/>
      <c r="AD34" s="37"/>
      <c r="AE34" s="37"/>
      <c r="AF34" s="37"/>
      <c r="AG34" s="37"/>
      <c r="AK34" s="38"/>
      <c r="AL34" s="38"/>
      <c r="AM34" s="38"/>
      <c r="AN34" s="38"/>
      <c r="AO34" s="38"/>
      <c r="AP34" s="38"/>
      <c r="AQ34" s="38"/>
      <c r="AR34" s="38"/>
      <c r="AS34" s="38"/>
      <c r="AT34" s="38"/>
      <c r="AU34" s="38"/>
      <c r="AV34" s="38"/>
      <c r="AW34" s="38"/>
      <c r="AX34" s="38"/>
      <c r="AY34" s="38"/>
      <c r="AZ34" s="293"/>
      <c r="BA34" s="293"/>
      <c r="BB34" s="38"/>
      <c r="BC34" s="38"/>
      <c r="BD34" s="38"/>
      <c r="BE34" s="38"/>
      <c r="BF34" s="38"/>
      <c r="BG34" s="38"/>
      <c r="BH34" s="38"/>
      <c r="BI34" s="38"/>
      <c r="BJ34" s="38"/>
      <c r="BK34" s="38"/>
      <c r="BL34" s="38"/>
      <c r="BM34" s="18"/>
      <c r="BN34" s="18"/>
      <c r="BO34" s="18"/>
      <c r="BP34" s="18"/>
    </row>
    <row r="35" spans="1:68" ht="15.6" x14ac:dyDescent="0.3">
      <c r="B35" s="228" t="s">
        <v>22</v>
      </c>
      <c r="C35" s="229">
        <v>20</v>
      </c>
      <c r="D35" s="18" t="s">
        <v>51</v>
      </c>
      <c r="E35" s="18"/>
      <c r="F35" s="18"/>
      <c r="G35" s="18"/>
      <c r="H35" s="18"/>
      <c r="I35" s="18"/>
      <c r="J35" s="18"/>
      <c r="K35" s="18"/>
      <c r="L35" s="28"/>
      <c r="M35" s="172"/>
      <c r="N35" s="44"/>
      <c r="O35" s="236"/>
      <c r="P35" s="44"/>
      <c r="Q35" s="37"/>
      <c r="R35" s="37"/>
      <c r="AD35" s="37"/>
      <c r="AE35" s="37"/>
      <c r="AF35" s="37"/>
      <c r="AG35" s="37"/>
      <c r="AK35" s="38"/>
      <c r="AL35" s="309"/>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18"/>
      <c r="BN35" s="18"/>
      <c r="BO35" s="18"/>
      <c r="BP35" s="18"/>
    </row>
    <row r="36" spans="1:68" x14ac:dyDescent="0.3">
      <c r="B36" s="212" t="s">
        <v>21</v>
      </c>
      <c r="C36" s="231">
        <v>25</v>
      </c>
      <c r="D36" s="18"/>
      <c r="E36" s="18"/>
      <c r="F36" s="18"/>
      <c r="G36" s="18"/>
      <c r="H36" s="18"/>
      <c r="I36" s="18"/>
      <c r="J36" s="18"/>
      <c r="K36" s="18"/>
      <c r="L36" s="28"/>
      <c r="N36" s="37"/>
      <c r="O36" s="37"/>
      <c r="P36" s="37"/>
      <c r="Q36" s="37"/>
      <c r="R36" s="37"/>
      <c r="AD36" s="37"/>
      <c r="AE36" s="37"/>
      <c r="AF36" s="37"/>
      <c r="AG36" s="37"/>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18"/>
      <c r="BN36" s="18"/>
      <c r="BO36" s="18"/>
      <c r="BP36" s="18"/>
    </row>
    <row r="37" spans="1:68" s="33" customFormat="1" x14ac:dyDescent="0.3">
      <c r="A37" s="18"/>
      <c r="B37" s="18" t="s">
        <v>23</v>
      </c>
      <c r="C37" s="18"/>
      <c r="D37" s="18"/>
      <c r="E37" s="18"/>
      <c r="F37" s="18"/>
      <c r="G37" s="18"/>
      <c r="H37" s="18"/>
      <c r="I37" s="18"/>
      <c r="J37" s="18"/>
      <c r="K37" s="18"/>
      <c r="L37" s="28"/>
      <c r="M37" s="28"/>
      <c r="N37" s="37"/>
      <c r="O37" s="37"/>
      <c r="P37" s="37"/>
      <c r="Q37" s="37"/>
      <c r="R37" s="37"/>
      <c r="AD37" s="37"/>
      <c r="AE37" s="37"/>
      <c r="AF37" s="37"/>
      <c r="AG37" s="37"/>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18"/>
      <c r="BN37" s="18"/>
      <c r="BO37" s="18"/>
      <c r="BP37" s="18"/>
    </row>
    <row r="38" spans="1:68" x14ac:dyDescent="0.3">
      <c r="B38" s="177"/>
      <c r="C38" s="18"/>
      <c r="D38" s="18"/>
      <c r="E38" s="18"/>
      <c r="F38" s="18"/>
      <c r="G38" s="18"/>
      <c r="H38" s="18"/>
      <c r="I38" s="18"/>
      <c r="J38" s="18"/>
      <c r="K38" s="18"/>
      <c r="L38" s="28"/>
      <c r="N38" s="37"/>
      <c r="O38" s="37"/>
      <c r="P38" s="37"/>
      <c r="Q38" s="37"/>
      <c r="R38" s="37"/>
      <c r="AK38" s="38"/>
      <c r="AL38" s="219"/>
      <c r="AM38" s="38"/>
      <c r="AN38" s="236"/>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18"/>
      <c r="BN38" s="18"/>
      <c r="BO38" s="18"/>
      <c r="BP38" s="18"/>
    </row>
    <row r="39" spans="1:68" ht="18" x14ac:dyDescent="0.35">
      <c r="B39" s="78" t="s">
        <v>166</v>
      </c>
      <c r="C39" s="60"/>
      <c r="D39" s="60"/>
      <c r="E39" s="60"/>
      <c r="F39" s="60"/>
      <c r="G39" s="60"/>
      <c r="H39" s="60"/>
      <c r="I39" s="60"/>
      <c r="J39" s="60"/>
      <c r="K39" s="60"/>
      <c r="L39" s="139"/>
      <c r="N39" s="78" t="s">
        <v>166</v>
      </c>
      <c r="O39" s="139"/>
      <c r="P39" s="139"/>
      <c r="Q39" s="139"/>
      <c r="R39" s="139"/>
      <c r="S39" s="60"/>
      <c r="T39" s="60"/>
      <c r="U39" s="60"/>
      <c r="V39" s="60"/>
      <c r="W39" s="60"/>
      <c r="X39" s="60"/>
      <c r="Y39" s="60"/>
      <c r="Z39" s="60"/>
      <c r="AA39" s="60"/>
      <c r="AB39" s="60"/>
      <c r="AK39" s="38"/>
      <c r="AL39" s="38"/>
      <c r="AM39" s="38"/>
      <c r="AN39" s="38"/>
      <c r="AO39" s="38"/>
      <c r="AP39" s="38"/>
      <c r="AQ39" s="38"/>
      <c r="AR39" s="293"/>
      <c r="AS39" s="293"/>
      <c r="AT39" s="293"/>
      <c r="AU39" s="293"/>
      <c r="AV39" s="293"/>
      <c r="AW39" s="293"/>
      <c r="AX39" s="293"/>
      <c r="AY39" s="293"/>
      <c r="AZ39" s="38"/>
      <c r="BA39" s="38"/>
      <c r="BB39" s="38"/>
      <c r="BC39" s="38"/>
      <c r="BD39" s="38"/>
      <c r="BE39" s="38"/>
      <c r="BF39" s="38"/>
      <c r="BG39" s="38"/>
      <c r="BH39" s="38"/>
      <c r="BI39" s="38"/>
      <c r="BJ39" s="38"/>
      <c r="BK39" s="38"/>
      <c r="BL39" s="38"/>
      <c r="BM39" s="18"/>
      <c r="BN39" s="18"/>
      <c r="BO39" s="18"/>
      <c r="BP39" s="18"/>
    </row>
    <row r="40" spans="1:68" ht="16.2" thickBot="1" x14ac:dyDescent="0.35">
      <c r="B40" s="18"/>
      <c r="C40" s="18"/>
      <c r="D40" s="18"/>
      <c r="E40" s="18"/>
      <c r="F40" s="18"/>
      <c r="G40" s="18"/>
      <c r="H40" s="18"/>
      <c r="I40" s="18"/>
      <c r="J40" s="18"/>
      <c r="K40" s="18"/>
      <c r="L40" s="28"/>
      <c r="N40" s="37"/>
      <c r="O40" s="37"/>
      <c r="P40" s="37"/>
      <c r="Q40" s="38"/>
      <c r="R40" s="38"/>
      <c r="S40" s="34"/>
      <c r="T40" s="34"/>
      <c r="U40" s="34"/>
      <c r="AK40" s="38"/>
      <c r="AL40" s="38"/>
      <c r="AM40" s="38"/>
      <c r="AN40" s="38"/>
      <c r="AO40" s="38"/>
      <c r="AP40" s="38"/>
      <c r="AQ40" s="293"/>
      <c r="AR40" s="293"/>
      <c r="AS40" s="293"/>
      <c r="AT40" s="293"/>
      <c r="AU40" s="293"/>
      <c r="AV40" s="293"/>
      <c r="AW40" s="293"/>
      <c r="AX40" s="293"/>
      <c r="AY40" s="293"/>
      <c r="AZ40" s="38"/>
      <c r="BA40" s="38"/>
      <c r="BB40" s="38"/>
      <c r="BC40" s="38"/>
      <c r="BD40" s="38"/>
      <c r="BE40" s="38"/>
      <c r="BF40" s="38"/>
      <c r="BG40" s="38"/>
      <c r="BH40" s="38"/>
      <c r="BI40" s="38"/>
      <c r="BJ40" s="38"/>
      <c r="BK40" s="38"/>
      <c r="BL40" s="38"/>
      <c r="BM40" s="18"/>
      <c r="BN40" s="18"/>
      <c r="BO40" s="18"/>
      <c r="BP40" s="18"/>
    </row>
    <row r="41" spans="1:68" ht="15" thickBot="1" x14ac:dyDescent="0.35">
      <c r="B41" s="140" t="s">
        <v>172</v>
      </c>
      <c r="C41" s="141" t="s">
        <v>36</v>
      </c>
      <c r="D41" s="142" t="s">
        <v>170</v>
      </c>
      <c r="E41" s="24"/>
      <c r="F41" s="143" t="s">
        <v>173</v>
      </c>
      <c r="G41" s="141" t="s">
        <v>174</v>
      </c>
      <c r="H41" s="142" t="s">
        <v>175</v>
      </c>
      <c r="I41" s="18" t="s">
        <v>169</v>
      </c>
      <c r="J41" s="18"/>
      <c r="K41" s="18"/>
      <c r="L41" s="28"/>
      <c r="N41" s="238" t="s">
        <v>215</v>
      </c>
      <c r="O41" s="239"/>
      <c r="P41" s="266"/>
      <c r="Q41" s="38"/>
      <c r="R41" s="193" t="s">
        <v>213</v>
      </c>
      <c r="S41" s="144"/>
      <c r="T41" s="144"/>
      <c r="U41" s="145"/>
      <c r="W41" s="210" t="s">
        <v>217</v>
      </c>
      <c r="X41" s="218"/>
      <c r="Y41" s="211"/>
      <c r="AK41" s="38"/>
      <c r="AL41" s="219"/>
      <c r="AM41" s="38"/>
      <c r="AN41" s="236"/>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18"/>
      <c r="BN41" s="18"/>
      <c r="BO41" s="18"/>
      <c r="BP41" s="18"/>
    </row>
    <row r="42" spans="1:68" ht="16.2" thickBot="1" x14ac:dyDescent="0.35">
      <c r="B42" s="112" t="s">
        <v>133</v>
      </c>
      <c r="C42" s="113" t="str">
        <f>B52</f>
        <v>UK</v>
      </c>
      <c r="D42" s="114" t="str">
        <f>B53</f>
        <v>Ireland</v>
      </c>
      <c r="E42" s="18" t="s">
        <v>169</v>
      </c>
      <c r="F42" s="112" t="s">
        <v>117</v>
      </c>
      <c r="G42" s="113" t="str">
        <f>C42</f>
        <v>UK</v>
      </c>
      <c r="H42" s="114" t="str">
        <f>D42</f>
        <v>Ireland</v>
      </c>
      <c r="I42" s="18" t="s">
        <v>45</v>
      </c>
      <c r="J42" s="18"/>
      <c r="K42" s="18"/>
      <c r="L42" s="28"/>
      <c r="M42" s="37"/>
      <c r="N42" s="267" t="s">
        <v>183</v>
      </c>
      <c r="O42" s="192" t="e">
        <f>(V14*'Data entry &gt;'!H35)/100</f>
        <v>#N/A</v>
      </c>
      <c r="P42" s="215" t="s">
        <v>150</v>
      </c>
      <c r="R42" s="6"/>
      <c r="S42" s="37" t="s">
        <v>135</v>
      </c>
      <c r="T42" s="37" t="s">
        <v>134</v>
      </c>
      <c r="U42" s="8"/>
      <c r="W42" s="49" t="s">
        <v>188</v>
      </c>
      <c r="X42" s="192" t="e">
        <f ca="1">O44-T49</f>
        <v>#N/A</v>
      </c>
      <c r="Y42" s="215" t="s">
        <v>139</v>
      </c>
      <c r="AK42" s="38"/>
      <c r="AL42" s="38"/>
      <c r="AM42" s="38"/>
      <c r="AN42" s="38"/>
      <c r="AO42" s="38"/>
      <c r="AP42" s="38"/>
      <c r="AQ42" s="293"/>
      <c r="AR42" s="293"/>
      <c r="AS42" s="293"/>
      <c r="AT42" s="293"/>
      <c r="AU42" s="293"/>
      <c r="AV42" s="293"/>
      <c r="AW42" s="293"/>
      <c r="AX42" s="293"/>
      <c r="AY42" s="293"/>
      <c r="AZ42" s="38"/>
      <c r="BA42" s="38"/>
      <c r="BB42" s="38"/>
      <c r="BC42" s="38"/>
      <c r="BD42" s="38"/>
      <c r="BE42" s="38"/>
      <c r="BF42" s="38"/>
      <c r="BG42" s="38"/>
      <c r="BH42" s="38"/>
      <c r="BI42" s="38"/>
      <c r="BJ42" s="38"/>
      <c r="BK42" s="38"/>
      <c r="BL42" s="38"/>
      <c r="BM42" s="18"/>
      <c r="BN42" s="18"/>
      <c r="BO42" s="18"/>
      <c r="BP42" s="18"/>
    </row>
    <row r="43" spans="1:68" ht="19.8" customHeight="1" thickBot="1" x14ac:dyDescent="0.35">
      <c r="B43" s="178" t="s">
        <v>34</v>
      </c>
      <c r="C43" s="179">
        <v>496</v>
      </c>
      <c r="D43" s="180">
        <f>C43*$C$53</f>
        <v>595.19999999999993</v>
      </c>
      <c r="E43" s="18"/>
      <c r="F43" s="118" t="s">
        <v>186</v>
      </c>
      <c r="G43" s="116">
        <v>4</v>
      </c>
      <c r="H43" s="110">
        <f>G43*$C$53</f>
        <v>4.8</v>
      </c>
      <c r="I43" s="315" t="s">
        <v>44</v>
      </c>
      <c r="J43" s="18" t="s">
        <v>297</v>
      </c>
      <c r="K43" s="18"/>
      <c r="L43" s="28"/>
      <c r="N43" s="49" t="s">
        <v>239</v>
      </c>
      <c r="O43" s="13" t="e">
        <f>O42*C28</f>
        <v>#N/A</v>
      </c>
      <c r="P43" s="268" t="s">
        <v>138</v>
      </c>
      <c r="Q43" s="38"/>
      <c r="R43" s="12" t="s">
        <v>35</v>
      </c>
      <c r="S43" s="14" t="e">
        <f>(VLOOKUP(O14,kitchen_heat,3,TRUE))</f>
        <v>#N/A</v>
      </c>
      <c r="T43" s="14" t="e">
        <f>S53*HLOOKUP('Data entry &gt;'!H33,costs_parts,2,FALSE)</f>
        <v>#N/A</v>
      </c>
      <c r="U43" s="8" t="s">
        <v>137</v>
      </c>
      <c r="W43" s="49" t="s">
        <v>189</v>
      </c>
      <c r="X43" s="251" t="e">
        <f ca="1">T49/(O44/C28)</f>
        <v>#N/A</v>
      </c>
      <c r="Y43" s="215" t="s">
        <v>191</v>
      </c>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18"/>
      <c r="BN43" s="18"/>
      <c r="BO43" s="18"/>
      <c r="BP43" s="18"/>
    </row>
    <row r="44" spans="1:68" ht="19.8" customHeight="1" x14ac:dyDescent="0.35">
      <c r="B44" s="115" t="s">
        <v>38</v>
      </c>
      <c r="C44" s="116">
        <v>350</v>
      </c>
      <c r="D44" s="117">
        <f>C44*$C$53</f>
        <v>420</v>
      </c>
      <c r="E44" s="18"/>
      <c r="F44" s="118" t="s">
        <v>118</v>
      </c>
      <c r="G44" s="324">
        <v>13</v>
      </c>
      <c r="H44" s="325">
        <f>G44*$C$53</f>
        <v>15.6</v>
      </c>
      <c r="I44" s="24" t="s">
        <v>294</v>
      </c>
      <c r="J44" s="18" t="s">
        <v>295</v>
      </c>
      <c r="K44" s="18"/>
      <c r="L44" s="28"/>
      <c r="N44" s="269" t="s">
        <v>187</v>
      </c>
      <c r="O44" s="270" t="e">
        <f ca="1">SUMPRODUCT((O52*(1+G64)^(ROW(INDIRECT(1&amp;":"&amp;C28))))/(1+G65)^(ROW(INDIRECT(1&amp;":"&amp;C28))))</f>
        <v>#N/A</v>
      </c>
      <c r="P44" s="217" t="s">
        <v>138</v>
      </c>
      <c r="Q44" s="38"/>
      <c r="R44" s="6" t="s">
        <v>209</v>
      </c>
      <c r="S44" s="37" t="s">
        <v>136</v>
      </c>
      <c r="T44" s="38"/>
      <c r="U44" s="8"/>
      <c r="W44" s="216" t="s">
        <v>190</v>
      </c>
      <c r="X44" s="253" t="e">
        <f>T49/O42</f>
        <v>#N/A</v>
      </c>
      <c r="Y44" s="217" t="s">
        <v>184</v>
      </c>
      <c r="AK44" s="38"/>
      <c r="AL44" s="38"/>
      <c r="AM44" s="38"/>
      <c r="AN44" s="29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18"/>
      <c r="BN44" s="18"/>
      <c r="BO44" s="18"/>
      <c r="BP44" s="18"/>
    </row>
    <row r="45" spans="1:68" ht="15" thickBot="1" x14ac:dyDescent="0.35">
      <c r="B45" s="115" t="s">
        <v>43</v>
      </c>
      <c r="C45" s="116">
        <v>40</v>
      </c>
      <c r="D45" s="117">
        <f>C45*$C$53</f>
        <v>48</v>
      </c>
      <c r="E45" s="18" t="s">
        <v>46</v>
      </c>
      <c r="F45" s="119" t="s">
        <v>0</v>
      </c>
      <c r="G45" s="326">
        <v>8</v>
      </c>
      <c r="H45" s="327">
        <f>G45*$C$53</f>
        <v>9.6</v>
      </c>
      <c r="I45" s="24" t="s">
        <v>296</v>
      </c>
      <c r="J45" s="18"/>
      <c r="K45" s="18"/>
      <c r="L45" s="28"/>
      <c r="P45" s="37"/>
      <c r="Q45" s="38"/>
      <c r="R45" s="12" t="s">
        <v>37</v>
      </c>
      <c r="S45" s="14">
        <f>'Data entry &gt;'!H40*G46</f>
        <v>0</v>
      </c>
      <c r="T45" s="14" t="e">
        <f>HLOOKUP('Data entry &gt;'!H33,[0]!pipe_material,2,FALSE)*S45</f>
        <v>#N/A</v>
      </c>
      <c r="U45" s="8" t="s">
        <v>137</v>
      </c>
      <c r="V45" s="37"/>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18"/>
      <c r="BN45" s="18"/>
      <c r="BO45" s="18"/>
      <c r="BP45" s="18"/>
    </row>
    <row r="46" spans="1:68" ht="15" thickBot="1" x14ac:dyDescent="0.35">
      <c r="B46" s="434" t="s">
        <v>372</v>
      </c>
      <c r="C46" s="230">
        <v>1</v>
      </c>
      <c r="D46" s="231">
        <f>C46*C53</f>
        <v>1.2</v>
      </c>
      <c r="E46" s="18"/>
      <c r="F46" s="64" t="s">
        <v>100</v>
      </c>
      <c r="G46" s="65">
        <v>2</v>
      </c>
      <c r="H46" s="66">
        <f>G46*$C$53</f>
        <v>2.4</v>
      </c>
      <c r="I46" s="18"/>
      <c r="J46" s="18"/>
      <c r="K46" s="18"/>
      <c r="L46" s="28"/>
      <c r="Q46" s="38"/>
      <c r="R46" s="12"/>
      <c r="S46" s="37"/>
      <c r="T46" s="252"/>
      <c r="U46" s="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18"/>
      <c r="BN46" s="18"/>
      <c r="BO46" s="18"/>
      <c r="BP46" s="18"/>
    </row>
    <row r="47" spans="1:68" ht="18" x14ac:dyDescent="0.35">
      <c r="B47" s="385" t="s">
        <v>171</v>
      </c>
      <c r="C47" s="18"/>
      <c r="D47" s="18"/>
      <c r="E47" s="18"/>
      <c r="F47" s="18" t="s">
        <v>101</v>
      </c>
      <c r="G47" s="18"/>
      <c r="H47" s="18"/>
      <c r="I47" s="18"/>
      <c r="J47" s="18"/>
      <c r="K47" s="18"/>
      <c r="L47" s="28"/>
      <c r="Q47" s="34"/>
      <c r="R47" s="12" t="s">
        <v>43</v>
      </c>
      <c r="S47" s="37"/>
      <c r="T47" s="14" t="e">
        <f>HLOOKUP('Data entry &gt;'!H33,costs_parts,4,FALSE)</f>
        <v>#N/A</v>
      </c>
      <c r="U47" s="8" t="s">
        <v>137</v>
      </c>
      <c r="AK47" s="38"/>
      <c r="AL47" s="38"/>
      <c r="AM47" s="38"/>
      <c r="AN47" s="294"/>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18"/>
      <c r="BN47" s="18"/>
      <c r="BO47" s="18"/>
      <c r="BP47" s="18"/>
    </row>
    <row r="48" spans="1:68" s="33" customFormat="1" ht="18.600000000000001" thickBot="1" x14ac:dyDescent="0.4">
      <c r="A48" s="18"/>
      <c r="F48" s="18"/>
      <c r="G48" s="18"/>
      <c r="H48" s="18"/>
      <c r="I48" s="18"/>
      <c r="J48" s="18"/>
      <c r="K48" s="18"/>
      <c r="L48" s="28"/>
      <c r="M48" s="28"/>
      <c r="Q48" s="34"/>
      <c r="R48" s="202" t="s">
        <v>373</v>
      </c>
      <c r="T48" s="14" t="e">
        <f>HLOOKUP('Data entry &gt;'!H33,costs_parts,5,FALSE)*S45</f>
        <v>#N/A</v>
      </c>
      <c r="U48" s="8" t="s">
        <v>137</v>
      </c>
      <c r="AA48"/>
      <c r="AK48" s="38"/>
      <c r="AL48" s="38"/>
      <c r="AM48" s="38"/>
      <c r="AN48" s="294"/>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18"/>
      <c r="BN48" s="18"/>
      <c r="BO48" s="18"/>
      <c r="BP48" s="18"/>
    </row>
    <row r="49" spans="1:68" ht="14.4" customHeight="1" thickBot="1" x14ac:dyDescent="0.35">
      <c r="B49" s="143" t="s">
        <v>168</v>
      </c>
      <c r="C49" s="144"/>
      <c r="D49" s="145"/>
      <c r="F49" s="210" t="s">
        <v>202</v>
      </c>
      <c r="G49" s="226"/>
      <c r="H49" s="227"/>
      <c r="Q49" s="34"/>
      <c r="R49" s="12" t="s">
        <v>39</v>
      </c>
      <c r="S49" s="37"/>
      <c r="T49" s="14" t="e">
        <f>SUM(T43,T45,T47)</f>
        <v>#N/A</v>
      </c>
      <c r="U49" s="8" t="s">
        <v>137</v>
      </c>
      <c r="AK49" s="38"/>
      <c r="AL49" s="38"/>
      <c r="AM49" s="293"/>
      <c r="AN49" s="293"/>
      <c r="AO49" s="293"/>
      <c r="AP49" s="293"/>
      <c r="AQ49" s="38"/>
      <c r="AR49" s="38"/>
      <c r="AS49" s="38"/>
      <c r="AT49" s="38"/>
      <c r="AU49" s="38"/>
      <c r="AV49" s="38"/>
      <c r="AW49" s="38"/>
      <c r="AX49" s="38"/>
      <c r="AY49" s="38"/>
      <c r="AZ49" s="38"/>
      <c r="BA49" s="38"/>
      <c r="BB49" s="38"/>
      <c r="BC49" s="38"/>
      <c r="BD49" s="38"/>
      <c r="BE49" s="38"/>
      <c r="BF49" s="38"/>
      <c r="BG49" s="38"/>
      <c r="BH49" s="38"/>
      <c r="BI49" s="38"/>
      <c r="BJ49" s="38"/>
      <c r="BK49" s="38"/>
      <c r="BL49" s="38"/>
      <c r="BM49" s="18"/>
      <c r="BN49" s="18"/>
      <c r="BO49" s="18"/>
      <c r="BP49" s="18"/>
    </row>
    <row r="50" spans="1:68" ht="16.2" thickBot="1" x14ac:dyDescent="0.35">
      <c r="B50" s="120" t="s">
        <v>129</v>
      </c>
      <c r="C50" s="121" t="s">
        <v>147</v>
      </c>
      <c r="D50" s="122" t="s">
        <v>146</v>
      </c>
      <c r="F50" s="232" t="s">
        <v>195</v>
      </c>
      <c r="G50" s="232" t="s">
        <v>196</v>
      </c>
      <c r="H50" s="232" t="s">
        <v>197</v>
      </c>
      <c r="I50" s="18"/>
      <c r="N50" s="38"/>
      <c r="O50" s="213"/>
      <c r="T50" s="18"/>
      <c r="AK50" s="38"/>
      <c r="AL50" s="309"/>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18"/>
      <c r="BN50" s="18"/>
      <c r="BO50" s="18"/>
      <c r="BP50" s="18"/>
    </row>
    <row r="51" spans="1:68" ht="16.2" thickBot="1" x14ac:dyDescent="0.35">
      <c r="B51" s="50" t="s">
        <v>314</v>
      </c>
      <c r="C51" s="50"/>
      <c r="D51" s="50"/>
      <c r="F51" s="116" t="str">
        <f t="shared" ref="F51:F57" si="3">B72</f>
        <v>natural gas</v>
      </c>
      <c r="G51" s="116">
        <v>2.1000000000000001E-2</v>
      </c>
      <c r="H51" s="116">
        <v>1E-3</v>
      </c>
      <c r="I51" s="28" t="s">
        <v>192</v>
      </c>
      <c r="N51" s="238" t="s">
        <v>216</v>
      </c>
      <c r="O51" s="239"/>
      <c r="P51" s="266"/>
      <c r="R51" s="193" t="s">
        <v>214</v>
      </c>
      <c r="S51" s="144"/>
      <c r="T51" s="144"/>
      <c r="U51" s="145"/>
      <c r="W51" s="210" t="s">
        <v>219</v>
      </c>
      <c r="X51" s="218"/>
      <c r="Y51" s="211"/>
      <c r="AK51" s="38"/>
      <c r="AL51" s="38"/>
      <c r="AM51" s="38"/>
      <c r="AN51" s="38"/>
      <c r="AO51" s="293"/>
      <c r="AP51" s="293"/>
      <c r="AQ51" s="38"/>
      <c r="AR51" s="38"/>
      <c r="AS51" s="38"/>
      <c r="AT51" s="38"/>
      <c r="AU51" s="38"/>
      <c r="AV51" s="38"/>
      <c r="AW51" s="38"/>
      <c r="AX51" s="38"/>
      <c r="AY51" s="38"/>
      <c r="AZ51" s="38"/>
      <c r="BA51" s="38"/>
      <c r="BB51" s="38"/>
      <c r="BC51" s="38"/>
      <c r="BD51" s="38"/>
      <c r="BE51" s="38"/>
      <c r="BF51" s="38"/>
      <c r="BG51" s="38"/>
      <c r="BH51" s="38"/>
      <c r="BI51" s="38"/>
      <c r="BJ51" s="38"/>
      <c r="BK51" s="38"/>
      <c r="BL51" s="38"/>
      <c r="BM51" s="18"/>
      <c r="BN51" s="18"/>
      <c r="BO51" s="18"/>
      <c r="BP51" s="18"/>
    </row>
    <row r="52" spans="1:68" x14ac:dyDescent="0.3">
      <c r="B52" s="108" t="s">
        <v>144</v>
      </c>
      <c r="C52" s="116">
        <v>1</v>
      </c>
      <c r="D52" s="110" t="s">
        <v>257</v>
      </c>
      <c r="F52" s="116" t="str">
        <f t="shared" si="3"/>
        <v>electricity</v>
      </c>
      <c r="G52" s="116">
        <v>2.3E-2</v>
      </c>
      <c r="H52" s="116">
        <v>1.0999999999999999E-2</v>
      </c>
      <c r="I52" s="18" t="s">
        <v>200</v>
      </c>
      <c r="N52" s="267" t="s">
        <v>183</v>
      </c>
      <c r="O52" s="192" t="e">
        <f>(V14*'Data entry &gt;'!H35)/100</f>
        <v>#N/A</v>
      </c>
      <c r="P52" s="215" t="s">
        <v>150</v>
      </c>
      <c r="R52" s="6"/>
      <c r="S52" s="37" t="s">
        <v>135</v>
      </c>
      <c r="T52" s="37" t="s">
        <v>134</v>
      </c>
      <c r="U52" s="8"/>
      <c r="W52" s="49" t="s">
        <v>188</v>
      </c>
      <c r="X52" s="192" t="e">
        <f ca="1">O54-T59</f>
        <v>#N/A</v>
      </c>
      <c r="Y52" s="215" t="s">
        <v>139</v>
      </c>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18"/>
      <c r="BN52" s="18"/>
      <c r="BO52" s="18"/>
      <c r="BP52" s="18"/>
    </row>
    <row r="53" spans="1:68" ht="18.600000000000001" thickBot="1" x14ac:dyDescent="0.35">
      <c r="B53" s="109" t="s">
        <v>145</v>
      </c>
      <c r="C53" s="326">
        <v>1.2</v>
      </c>
      <c r="D53" s="111" t="s">
        <v>258</v>
      </c>
      <c r="F53" s="116" t="str">
        <f t="shared" si="3"/>
        <v>green electricity</v>
      </c>
      <c r="G53" s="116">
        <f>G52</f>
        <v>2.3E-2</v>
      </c>
      <c r="H53" s="116">
        <f>H52</f>
        <v>1.0999999999999999E-2</v>
      </c>
      <c r="I53" t="s">
        <v>204</v>
      </c>
      <c r="N53" s="49" t="s">
        <v>239</v>
      </c>
      <c r="O53" s="13" t="e">
        <f>O52*'Results !'!H3</f>
        <v>#N/A</v>
      </c>
      <c r="P53" s="268" t="s">
        <v>138</v>
      </c>
      <c r="R53" s="12" t="s">
        <v>35</v>
      </c>
      <c r="S53" s="14" t="e">
        <f>(VLOOKUP(O14,kitchen_heat,3,TRUE))</f>
        <v>#N/A</v>
      </c>
      <c r="T53" s="14" t="e">
        <f>S53*HLOOKUP('Data entry &gt;'!H33,costs_parts,2,FALSE)</f>
        <v>#N/A</v>
      </c>
      <c r="U53" s="8" t="s">
        <v>137</v>
      </c>
      <c r="W53" s="49" t="s">
        <v>189</v>
      </c>
      <c r="X53" s="16" t="e">
        <f ca="1">T59/(O54/'Results !'!H3)</f>
        <v>#N/A</v>
      </c>
      <c r="Y53" s="215" t="s">
        <v>191</v>
      </c>
      <c r="AK53" s="38"/>
      <c r="AL53" s="296"/>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18"/>
      <c r="BN53" s="18"/>
      <c r="BO53" s="18"/>
      <c r="BP53" s="18"/>
    </row>
    <row r="54" spans="1:68" x14ac:dyDescent="0.3">
      <c r="B54" s="24" t="s">
        <v>298</v>
      </c>
      <c r="C54" s="18"/>
      <c r="D54" s="18"/>
      <c r="F54" s="116" t="str">
        <f t="shared" si="3"/>
        <v>light fuel oil</v>
      </c>
      <c r="G54" s="116">
        <v>5.0999999999999997E-2</v>
      </c>
      <c r="H54" s="116">
        <f>G54</f>
        <v>5.0999999999999997E-2</v>
      </c>
      <c r="I54" s="28" t="s">
        <v>203</v>
      </c>
      <c r="N54" s="269" t="s">
        <v>187</v>
      </c>
      <c r="O54" s="270" t="e">
        <f ca="1">SUMPRODUCT((O52*(1+G64)^(ROW(INDIRECT(1&amp;":"&amp;'Results !'!H3))))/(1+G65)^(ROW(INDIRECT(1&amp;":"&amp;'Results !'!H3))))</f>
        <v>#N/A</v>
      </c>
      <c r="P54" s="217" t="s">
        <v>138</v>
      </c>
      <c r="R54" s="6" t="s">
        <v>209</v>
      </c>
      <c r="S54" s="37" t="s">
        <v>136</v>
      </c>
      <c r="T54" s="38"/>
      <c r="U54" s="8"/>
      <c r="W54" s="216" t="s">
        <v>190</v>
      </c>
      <c r="X54" s="253" t="e">
        <f>T59/O52</f>
        <v>#N/A</v>
      </c>
      <c r="Y54" s="217" t="s">
        <v>184</v>
      </c>
      <c r="AA54" s="33"/>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18"/>
      <c r="BN54" s="18"/>
      <c r="BO54" s="18"/>
      <c r="BP54" s="18"/>
    </row>
    <row r="55" spans="1:68" ht="18" customHeight="1" x14ac:dyDescent="0.45">
      <c r="B55" s="23" t="s">
        <v>132</v>
      </c>
      <c r="C55" s="18"/>
      <c r="D55" s="18"/>
      <c r="E55" s="18"/>
      <c r="F55" s="116" t="str">
        <f t="shared" si="3"/>
        <v>wood chips</v>
      </c>
      <c r="G55" s="123">
        <f>energy_price[[#This Row],[industry]]</f>
        <v>1.8700000000000001E-2</v>
      </c>
      <c r="H55" s="123">
        <f>0.0057+H61</f>
        <v>1.8700000000000001E-2</v>
      </c>
      <c r="I55" s="28" t="s">
        <v>210</v>
      </c>
      <c r="N55" t="s">
        <v>208</v>
      </c>
      <c r="O55" s="213"/>
      <c r="P55" s="34"/>
      <c r="R55" s="12" t="s">
        <v>37</v>
      </c>
      <c r="S55" s="14">
        <f>'Data entry &gt;'!H40*G46</f>
        <v>0</v>
      </c>
      <c r="T55" s="14" t="e">
        <f>INDEX(pipe_material,MATCH('Results !'!H5,pipe_mat,0),MATCH('Data entry &gt;'!H33,pipe_currency,0))*S55</f>
        <v>#N/A</v>
      </c>
      <c r="U55" s="8" t="s">
        <v>137</v>
      </c>
      <c r="AK55" s="38"/>
      <c r="AL55" s="293"/>
      <c r="AM55" s="38"/>
      <c r="AN55" s="38"/>
      <c r="AO55" s="38"/>
      <c r="AP55" s="38"/>
      <c r="AQ55" s="38"/>
      <c r="AR55" s="38"/>
      <c r="AS55" s="38"/>
      <c r="AT55" s="38"/>
      <c r="AU55" s="38"/>
      <c r="AV55" s="38"/>
      <c r="AW55" s="38"/>
      <c r="AX55" s="38"/>
      <c r="AY55" s="38"/>
      <c r="AZ55" s="38"/>
      <c r="BA55" s="38"/>
      <c r="BB55" s="310"/>
      <c r="BC55" s="38"/>
      <c r="BD55" s="38"/>
      <c r="BE55" s="38"/>
      <c r="BF55" s="38"/>
      <c r="BG55" s="38"/>
      <c r="BH55" s="38"/>
      <c r="BI55" s="38"/>
      <c r="BJ55" s="38"/>
      <c r="BK55" s="38"/>
      <c r="BL55" s="38"/>
      <c r="BM55" s="18"/>
      <c r="BN55" s="18"/>
      <c r="BO55" s="18"/>
      <c r="BP55" s="18"/>
    </row>
    <row r="56" spans="1:68" ht="15.6" x14ac:dyDescent="0.3">
      <c r="B56" s="18" t="s">
        <v>148</v>
      </c>
      <c r="F56" s="116" t="str">
        <f t="shared" si="3"/>
        <v>solar thermal</v>
      </c>
      <c r="G56" s="116">
        <v>0</v>
      </c>
      <c r="H56" s="116">
        <v>0</v>
      </c>
      <c r="N56" s="38"/>
      <c r="O56" s="213"/>
      <c r="R56" s="12"/>
      <c r="S56" s="37"/>
      <c r="T56" s="252"/>
      <c r="U56" s="8"/>
      <c r="W56" s="59"/>
      <c r="AK56" s="38"/>
      <c r="AL56" s="293"/>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18"/>
      <c r="BN56" s="18"/>
      <c r="BO56" s="18"/>
      <c r="BP56" s="18"/>
    </row>
    <row r="57" spans="1:68" s="33" customFormat="1" ht="15.6" x14ac:dyDescent="0.3">
      <c r="A57" s="18"/>
      <c r="F57" s="116" t="str">
        <f t="shared" si="3"/>
        <v>geo thermal</v>
      </c>
      <c r="G57" s="116">
        <v>0</v>
      </c>
      <c r="H57" s="116">
        <v>0</v>
      </c>
      <c r="M57" s="28"/>
      <c r="N57" s="38"/>
      <c r="O57" s="213"/>
      <c r="R57" s="12" t="s">
        <v>43</v>
      </c>
      <c r="S57" s="37"/>
      <c r="T57" s="14" t="e">
        <f>HLOOKUP('Data entry &gt;'!H33,costs_parts,4,FALSE)</f>
        <v>#N/A</v>
      </c>
      <c r="U57" s="8" t="s">
        <v>137</v>
      </c>
      <c r="V57" s="18"/>
      <c r="W57"/>
      <c r="X57"/>
      <c r="Y57"/>
      <c r="Z57"/>
      <c r="AK57" s="38"/>
      <c r="AL57" s="293"/>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18"/>
      <c r="BN57" s="18"/>
      <c r="BO57" s="18"/>
      <c r="BP57" s="18"/>
    </row>
    <row r="58" spans="1:68" s="33" customFormat="1" ht="15.6" x14ac:dyDescent="0.3">
      <c r="A58" s="18"/>
      <c r="M58" s="28"/>
      <c r="N58" s="38"/>
      <c r="O58" s="213"/>
      <c r="R58" s="202" t="s">
        <v>373</v>
      </c>
      <c r="T58" s="14" t="e">
        <f>HLOOKUP('Data entry &gt;'!H33,costs_parts,5,FALSE)*S55</f>
        <v>#N/A</v>
      </c>
      <c r="U58" s="8" t="s">
        <v>137</v>
      </c>
      <c r="V58" s="18"/>
      <c r="W58" s="190"/>
      <c r="X58"/>
      <c r="Y58"/>
      <c r="AK58" s="38"/>
      <c r="AL58" s="293"/>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18"/>
      <c r="BN58" s="18"/>
      <c r="BO58" s="18"/>
      <c r="BP58" s="18"/>
    </row>
    <row r="59" spans="1:68" ht="15.6" x14ac:dyDescent="0.3">
      <c r="A59" s="28"/>
      <c r="N59" s="38"/>
      <c r="O59" s="213"/>
      <c r="R59" s="12" t="s">
        <v>39</v>
      </c>
      <c r="S59" s="37"/>
      <c r="T59" s="14" t="e">
        <f>SUM(T53,T55,T57)</f>
        <v>#N/A</v>
      </c>
      <c r="U59" s="8" t="s">
        <v>137</v>
      </c>
      <c r="V59" s="18"/>
      <c r="W59" s="18"/>
      <c r="X59" s="28"/>
      <c r="AK59" s="38"/>
      <c r="AL59" s="293"/>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18"/>
      <c r="BN59" s="18"/>
      <c r="BO59" s="18"/>
      <c r="BP59" s="18"/>
    </row>
    <row r="60" spans="1:68" s="33" customFormat="1" ht="15.6" x14ac:dyDescent="0.3">
      <c r="A60" s="28"/>
      <c r="E60" s="18"/>
      <c r="F60" s="220" t="s">
        <v>198</v>
      </c>
      <c r="G60" s="221">
        <v>4.2999999999999997E-2</v>
      </c>
      <c r="H60" s="222">
        <f>G60</f>
        <v>4.2999999999999997E-2</v>
      </c>
      <c r="I60" s="28" t="s">
        <v>201</v>
      </c>
      <c r="J60"/>
      <c r="M60" s="28"/>
      <c r="N60" s="38"/>
      <c r="O60" s="213"/>
      <c r="U60" s="28"/>
      <c r="V60" s="28"/>
      <c r="W60" s="18"/>
      <c r="X60" s="28"/>
      <c r="AK60" s="38"/>
      <c r="AL60" s="293"/>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18"/>
      <c r="BN60" s="18"/>
      <c r="BO60" s="18"/>
      <c r="BP60" s="18"/>
    </row>
    <row r="61" spans="1:68" s="33" customFormat="1" ht="15.6" x14ac:dyDescent="0.3">
      <c r="A61" s="28"/>
      <c r="E61" s="18"/>
      <c r="F61" s="209" t="s">
        <v>199</v>
      </c>
      <c r="G61" s="223">
        <v>1.4E-2</v>
      </c>
      <c r="H61" s="224">
        <v>1.2999999999999999E-2</v>
      </c>
      <c r="I61" s="28" t="s">
        <v>193</v>
      </c>
      <c r="M61" s="28"/>
      <c r="N61" s="38"/>
      <c r="O61" s="213"/>
      <c r="U61" s="28"/>
      <c r="V61" s="28"/>
      <c r="W61" s="18"/>
      <c r="X61" s="28"/>
      <c r="AK61" s="38"/>
      <c r="AL61" s="293"/>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18"/>
      <c r="BN61" s="18"/>
      <c r="BO61" s="18"/>
      <c r="BP61" s="18"/>
    </row>
    <row r="62" spans="1:68" s="33" customFormat="1" ht="15.6" x14ac:dyDescent="0.3">
      <c r="A62" s="28"/>
      <c r="E62" s="18"/>
      <c r="F62" s="28"/>
      <c r="G62" s="28"/>
      <c r="H62" s="28"/>
      <c r="I62" s="28" t="s">
        <v>194</v>
      </c>
      <c r="M62" s="28"/>
      <c r="N62" s="38"/>
      <c r="O62" s="213"/>
      <c r="U62" s="28"/>
      <c r="V62" s="28"/>
      <c r="W62" s="18"/>
      <c r="X62" s="28"/>
      <c r="AK62" s="38"/>
      <c r="AL62" s="293"/>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18"/>
      <c r="BN62" s="18"/>
      <c r="BO62" s="18"/>
      <c r="BP62" s="18"/>
    </row>
    <row r="63" spans="1:68" s="33" customFormat="1" ht="15.6" x14ac:dyDescent="0.3">
      <c r="A63" s="28"/>
      <c r="E63" s="18"/>
      <c r="F63" s="210" t="s">
        <v>176</v>
      </c>
      <c r="G63" s="211" t="s">
        <v>149</v>
      </c>
      <c r="H63" s="18"/>
      <c r="K63" s="18"/>
      <c r="L63" s="28"/>
      <c r="M63" s="28"/>
      <c r="N63" s="38"/>
      <c r="O63" s="213"/>
      <c r="Q63" s="18"/>
      <c r="U63" s="28"/>
      <c r="V63" s="28"/>
      <c r="W63" s="18"/>
      <c r="X63" s="28"/>
      <c r="AK63" s="38"/>
      <c r="AL63" s="293"/>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18"/>
      <c r="BN63" s="18"/>
      <c r="BO63" s="18"/>
      <c r="BP63" s="18"/>
    </row>
    <row r="64" spans="1:68" s="33" customFormat="1" ht="15.6" x14ac:dyDescent="0.3">
      <c r="A64" s="28"/>
      <c r="B64" s="18"/>
      <c r="C64" s="18"/>
      <c r="E64" s="18"/>
      <c r="F64" s="207" t="s">
        <v>185</v>
      </c>
      <c r="G64" s="233" t="e">
        <f>VLOOKUP('Data entry &gt;'!H31,energy_price[], 2,FALSE)</f>
        <v>#N/A</v>
      </c>
      <c r="H64" s="30" t="s">
        <v>206</v>
      </c>
      <c r="I64" s="28"/>
      <c r="J64" s="28"/>
      <c r="K64" s="18"/>
      <c r="L64" s="28"/>
      <c r="M64" s="28"/>
      <c r="N64" s="38"/>
      <c r="O64" s="213"/>
      <c r="Q64" s="18"/>
      <c r="AK64" s="53"/>
      <c r="AL64" s="47"/>
      <c r="AM64" s="18"/>
      <c r="AN64" s="18"/>
      <c r="AO64" s="18"/>
      <c r="AP64" s="18"/>
      <c r="AQ64" s="18"/>
      <c r="AR64" s="18"/>
      <c r="AS64" s="18"/>
      <c r="AT64" s="18"/>
      <c r="AU64" s="18"/>
      <c r="AV64" s="18"/>
      <c r="AW64" s="18"/>
      <c r="AX64" s="18"/>
      <c r="AY64" s="18"/>
      <c r="AZ64" s="51"/>
      <c r="BA64" s="18"/>
      <c r="BB64" s="18"/>
      <c r="BC64" s="18"/>
      <c r="BD64" s="18"/>
      <c r="BE64" s="18"/>
      <c r="BF64" s="18"/>
      <c r="BG64" s="18"/>
      <c r="BH64" s="18"/>
      <c r="BI64" s="18"/>
      <c r="BJ64" s="18"/>
      <c r="BK64" s="18"/>
      <c r="BL64" s="18"/>
      <c r="BM64" s="18"/>
      <c r="BN64" s="18"/>
      <c r="BO64" s="18"/>
      <c r="BP64" s="18"/>
    </row>
    <row r="65" spans="1:68" s="33" customFormat="1" ht="15.6" x14ac:dyDescent="0.3">
      <c r="A65" s="28"/>
      <c r="B65" s="18"/>
      <c r="C65" s="18"/>
      <c r="E65" s="18"/>
      <c r="F65" s="208" t="s">
        <v>205</v>
      </c>
      <c r="G65" s="234">
        <v>0.05</v>
      </c>
      <c r="H65" s="30" t="s">
        <v>207</v>
      </c>
      <c r="I65" s="28"/>
      <c r="J65" s="28"/>
      <c r="K65" s="18"/>
      <c r="L65" s="28"/>
      <c r="M65" s="28"/>
      <c r="N65" s="38"/>
      <c r="O65" s="213"/>
      <c r="Q65" s="18"/>
      <c r="AK65" s="53"/>
      <c r="AL65" s="47"/>
      <c r="AM65" s="18"/>
      <c r="AN65" s="18"/>
      <c r="AO65" s="18"/>
      <c r="AP65" s="18"/>
      <c r="AQ65" s="18"/>
      <c r="AR65" s="18"/>
      <c r="AS65" s="18"/>
      <c r="AT65" s="18"/>
      <c r="AU65" s="18"/>
      <c r="AV65" s="18"/>
      <c r="AW65" s="18"/>
      <c r="AX65" s="18"/>
      <c r="AY65" s="18"/>
      <c r="AZ65" s="51"/>
      <c r="BA65" s="18"/>
      <c r="BB65" s="18"/>
      <c r="BC65" s="18"/>
      <c r="BD65" s="18"/>
      <c r="BE65" s="18"/>
      <c r="BF65" s="18"/>
      <c r="BG65" s="18"/>
      <c r="BH65" s="18"/>
      <c r="BI65" s="18"/>
      <c r="BJ65" s="18"/>
      <c r="BK65" s="18"/>
      <c r="BL65" s="18"/>
      <c r="BM65" s="18"/>
      <c r="BN65" s="18"/>
      <c r="BO65" s="18"/>
      <c r="BP65" s="18"/>
    </row>
    <row r="66" spans="1:68" s="33" customFormat="1" ht="15.6" x14ac:dyDescent="0.3">
      <c r="A66" s="28"/>
      <c r="B66" s="18"/>
      <c r="C66" s="18"/>
      <c r="E66" s="18"/>
      <c r="F66" s="214"/>
      <c r="G66" s="237"/>
      <c r="H66" s="36"/>
      <c r="I66" s="28"/>
      <c r="J66" s="28"/>
      <c r="K66" s="18"/>
      <c r="L66" s="28"/>
      <c r="M66" s="28"/>
      <c r="N66" s="38"/>
      <c r="O66" s="213"/>
      <c r="Q66" s="18"/>
      <c r="AK66" s="53"/>
      <c r="AL66" s="47"/>
      <c r="AM66" s="18"/>
      <c r="AN66" s="18"/>
      <c r="AO66" s="18"/>
      <c r="AP66" s="18"/>
      <c r="AQ66" s="18"/>
      <c r="AR66" s="18"/>
      <c r="AS66" s="18"/>
      <c r="AT66" s="18"/>
      <c r="AU66" s="18"/>
      <c r="AV66" s="18"/>
      <c r="AW66" s="18"/>
      <c r="AX66" s="18"/>
      <c r="AY66" s="18"/>
      <c r="AZ66" s="51"/>
      <c r="BA66" s="18"/>
      <c r="BB66" s="18"/>
      <c r="BC66" s="18"/>
      <c r="BD66" s="18"/>
      <c r="BE66" s="18"/>
      <c r="BF66" s="18"/>
      <c r="BG66" s="18"/>
      <c r="BH66" s="18"/>
      <c r="BI66" s="18"/>
      <c r="BJ66" s="18"/>
      <c r="BK66" s="18"/>
      <c r="BL66" s="18"/>
      <c r="BM66" s="18"/>
      <c r="BN66" s="18"/>
      <c r="BO66" s="18"/>
      <c r="BP66" s="18"/>
    </row>
    <row r="67" spans="1:68" ht="15.6" x14ac:dyDescent="0.3">
      <c r="A67" s="28"/>
      <c r="E67" s="28"/>
      <c r="F67" s="28"/>
      <c r="G67" s="28"/>
      <c r="H67" s="28"/>
      <c r="I67" s="28"/>
      <c r="J67" s="28"/>
      <c r="K67" s="18"/>
      <c r="L67" s="28"/>
      <c r="AK67" s="53"/>
      <c r="AL67" s="29"/>
      <c r="AM67" s="18"/>
      <c r="AN67" s="18"/>
      <c r="AO67" s="18"/>
      <c r="AP67" s="18"/>
      <c r="AQ67" s="18"/>
      <c r="AR67" s="18"/>
      <c r="AS67" s="18"/>
      <c r="AT67" s="18"/>
      <c r="AU67" s="18"/>
      <c r="AV67" s="18"/>
      <c r="AW67" s="18"/>
      <c r="AX67" s="18"/>
      <c r="AY67" s="18"/>
      <c r="BA67" s="18"/>
      <c r="BB67" s="18"/>
      <c r="BC67" s="18"/>
      <c r="BD67" s="18"/>
      <c r="BE67" s="18"/>
      <c r="BF67" s="18"/>
      <c r="BG67" s="18"/>
      <c r="BH67" s="18"/>
      <c r="BI67" s="18"/>
      <c r="BJ67" s="18"/>
      <c r="BK67" s="18"/>
      <c r="BL67" s="18"/>
      <c r="BM67" s="18"/>
      <c r="BN67" s="18"/>
      <c r="BO67" s="18"/>
      <c r="BP67" s="18"/>
    </row>
    <row r="68" spans="1:68" s="33" customFormat="1" ht="18" x14ac:dyDescent="0.35">
      <c r="A68" s="28"/>
      <c r="B68" s="78" t="s">
        <v>177</v>
      </c>
      <c r="C68" s="60"/>
      <c r="D68" s="60"/>
      <c r="E68" s="60"/>
      <c r="F68" s="60"/>
      <c r="G68" s="60"/>
      <c r="H68" s="60"/>
      <c r="I68" s="60"/>
      <c r="J68" s="60"/>
      <c r="K68" s="60"/>
      <c r="L68" s="139"/>
      <c r="M68" s="28"/>
      <c r="N68" s="60"/>
      <c r="O68" s="60"/>
      <c r="P68" s="60"/>
      <c r="Q68" s="60"/>
      <c r="R68" s="60"/>
      <c r="S68" s="60"/>
      <c r="T68" s="60"/>
      <c r="U68" s="60"/>
      <c r="V68" s="60"/>
      <c r="W68" s="60"/>
      <c r="X68" s="60"/>
      <c r="Y68" s="60"/>
      <c r="Z68" s="60"/>
      <c r="AA68" s="60"/>
      <c r="AB68" s="60"/>
      <c r="AC68"/>
      <c r="AD68"/>
      <c r="AE68"/>
      <c r="AF68"/>
      <c r="AK68" s="53"/>
      <c r="AL68" s="29"/>
      <c r="AM68" s="18"/>
      <c r="AN68" s="18"/>
      <c r="AO68" s="18"/>
      <c r="AP68" s="18"/>
      <c r="AQ68" s="18"/>
      <c r="AR68" s="18"/>
      <c r="AS68" s="18"/>
      <c r="AT68" s="18"/>
      <c r="AU68" s="18"/>
      <c r="AV68" s="18"/>
      <c r="AW68" s="18"/>
      <c r="AX68" s="18"/>
      <c r="AY68" s="18"/>
      <c r="AZ68" s="51"/>
      <c r="BA68" s="18"/>
      <c r="BB68" s="18"/>
      <c r="BC68" s="18"/>
      <c r="BD68" s="18"/>
      <c r="BE68" s="18"/>
      <c r="BF68" s="18"/>
      <c r="BG68" s="18"/>
      <c r="BH68" s="18"/>
      <c r="BI68" s="18"/>
      <c r="BJ68" s="18"/>
      <c r="BK68" s="18"/>
      <c r="BL68" s="18"/>
      <c r="BM68" s="18"/>
      <c r="BN68" s="18"/>
      <c r="BO68" s="18"/>
      <c r="BP68" s="18"/>
    </row>
    <row r="69" spans="1:68" s="33" customFormat="1" ht="16.2" thickBot="1" x14ac:dyDescent="0.35">
      <c r="A69" s="28"/>
      <c r="B69" s="18"/>
      <c r="C69" s="18"/>
      <c r="D69" s="18"/>
      <c r="E69" s="18"/>
      <c r="F69" s="18"/>
      <c r="G69" s="18"/>
      <c r="H69" s="18"/>
      <c r="I69" s="18"/>
      <c r="J69" s="181"/>
      <c r="K69" s="18"/>
      <c r="L69" s="28"/>
      <c r="M69" s="28"/>
      <c r="N69"/>
      <c r="O69"/>
      <c r="P69"/>
      <c r="Q69"/>
      <c r="R69"/>
      <c r="S69"/>
      <c r="T69"/>
      <c r="U69"/>
      <c r="V69"/>
      <c r="W69" s="37"/>
      <c r="X69"/>
      <c r="Y69"/>
      <c r="Z69"/>
      <c r="AA69" s="34"/>
      <c r="AB69" s="38"/>
      <c r="AC69"/>
      <c r="AD69"/>
      <c r="AE69"/>
      <c r="AF69"/>
      <c r="AK69" s="53"/>
      <c r="AL69" s="29"/>
      <c r="AM69" s="18"/>
      <c r="AN69" s="18"/>
      <c r="AO69" s="18"/>
      <c r="AP69" s="18"/>
      <c r="AQ69" s="18"/>
      <c r="AR69" s="18"/>
      <c r="AS69" s="18"/>
      <c r="AT69" s="18"/>
      <c r="AU69" s="18"/>
      <c r="AV69" s="18"/>
      <c r="AW69" s="18"/>
      <c r="AX69" s="18"/>
      <c r="AY69" s="18"/>
      <c r="AZ69" s="51"/>
      <c r="BA69" s="18"/>
      <c r="BB69" s="18"/>
      <c r="BC69" s="18"/>
      <c r="BD69" s="18"/>
      <c r="BE69" s="18"/>
      <c r="BF69" s="18"/>
      <c r="BG69" s="18"/>
      <c r="BH69" s="18"/>
      <c r="BI69" s="18"/>
      <c r="BJ69" s="18"/>
      <c r="BK69" s="18"/>
      <c r="BL69" s="18"/>
      <c r="BM69" s="18"/>
      <c r="BN69" s="18"/>
      <c r="BO69" s="18"/>
      <c r="BP69" s="18"/>
    </row>
    <row r="70" spans="1:68" s="33" customFormat="1" ht="15" thickBot="1" x14ac:dyDescent="0.35">
      <c r="A70" s="28"/>
      <c r="B70" s="85" t="s">
        <v>55</v>
      </c>
      <c r="C70" s="18"/>
      <c r="D70" s="238" t="s">
        <v>76</v>
      </c>
      <c r="E70" s="239"/>
      <c r="F70" s="240" t="s">
        <v>104</v>
      </c>
      <c r="G70" s="241"/>
      <c r="H70" s="241"/>
      <c r="I70" s="241"/>
      <c r="J70" s="241"/>
      <c r="K70" s="241"/>
      <c r="L70" s="242"/>
      <c r="M70" s="28"/>
      <c r="N70" s="256" t="s">
        <v>102</v>
      </c>
      <c r="O70" s="144"/>
      <c r="P70" s="145"/>
      <c r="X70" s="193" t="s">
        <v>247</v>
      </c>
      <c r="Y70" s="144"/>
      <c r="Z70" s="144"/>
      <c r="AA70" s="144"/>
      <c r="AB70" s="145"/>
      <c r="AC70"/>
      <c r="AD70"/>
      <c r="AE70"/>
      <c r="AF70"/>
      <c r="AK70" s="53"/>
      <c r="AL70" s="18"/>
      <c r="AM70" s="18"/>
      <c r="AN70" s="18"/>
      <c r="AO70" s="18"/>
      <c r="AP70" s="18"/>
      <c r="AQ70" s="18"/>
      <c r="AR70" s="18"/>
      <c r="AS70" s="18"/>
      <c r="AT70" s="18"/>
      <c r="AU70" s="18"/>
      <c r="AV70" s="18"/>
      <c r="AW70" s="18"/>
      <c r="AX70" s="18"/>
      <c r="AY70" s="18"/>
      <c r="AZ70" s="51"/>
      <c r="BA70" s="18"/>
      <c r="BB70" s="18"/>
      <c r="BC70" s="18"/>
      <c r="BD70" s="18"/>
      <c r="BE70" s="18"/>
      <c r="BF70" s="18"/>
      <c r="BG70" s="18"/>
      <c r="BH70" s="18"/>
      <c r="BI70" s="18"/>
      <c r="BJ70" s="18"/>
      <c r="BK70" s="18"/>
      <c r="BL70" s="18"/>
      <c r="BM70" s="18"/>
      <c r="BN70" s="18"/>
      <c r="BO70" s="18"/>
      <c r="BP70" s="18"/>
    </row>
    <row r="71" spans="1:68" ht="15" thickBot="1" x14ac:dyDescent="0.35">
      <c r="A71" s="28"/>
      <c r="B71" s="50" t="s">
        <v>314</v>
      </c>
      <c r="C71" s="18"/>
      <c r="D71" s="243" t="s">
        <v>108</v>
      </c>
      <c r="E71" s="86" t="s">
        <v>105</v>
      </c>
      <c r="F71" s="81" t="str">
        <f>B72</f>
        <v>natural gas</v>
      </c>
      <c r="G71" s="81" t="str">
        <f>B73</f>
        <v>electricity</v>
      </c>
      <c r="H71" s="81" t="str">
        <f>B75</f>
        <v>light fuel oil</v>
      </c>
      <c r="I71" s="81" t="str">
        <f>B76</f>
        <v>wood chips</v>
      </c>
      <c r="J71" s="81" t="str">
        <f>B77</f>
        <v>solar thermal</v>
      </c>
      <c r="K71" s="81" t="str">
        <f>B78</f>
        <v>geo thermal</v>
      </c>
      <c r="L71" s="244" t="str">
        <f>B74</f>
        <v>green electricity</v>
      </c>
      <c r="N71" s="80" t="s">
        <v>61</v>
      </c>
      <c r="O71" s="81"/>
      <c r="P71" s="83" t="s">
        <v>108</v>
      </c>
      <c r="X71" s="84"/>
      <c r="Y71" s="196" t="s">
        <v>35</v>
      </c>
      <c r="Z71" s="196" t="s">
        <v>37</v>
      </c>
      <c r="AA71" s="196" t="s">
        <v>124</v>
      </c>
      <c r="AB71" s="82"/>
      <c r="AK71" s="53"/>
      <c r="AL71" s="18"/>
      <c r="AM71" s="18"/>
      <c r="AN71" s="18"/>
      <c r="AO71" s="18"/>
      <c r="AP71" s="18"/>
      <c r="AQ71" s="18"/>
      <c r="AR71" s="18"/>
      <c r="AS71" s="18"/>
      <c r="AT71" s="18"/>
      <c r="AU71" s="18"/>
      <c r="AV71" s="18"/>
      <c r="AW71" s="18"/>
      <c r="AX71" s="18"/>
      <c r="AY71" s="18"/>
      <c r="BA71" s="18"/>
      <c r="BB71" s="18"/>
      <c r="BC71" s="18"/>
      <c r="BD71" s="18"/>
      <c r="BE71" s="18"/>
      <c r="BF71" s="18"/>
      <c r="BG71" s="18"/>
      <c r="BH71" s="18"/>
      <c r="BI71" s="18"/>
      <c r="BJ71" s="18"/>
      <c r="BK71" s="18"/>
      <c r="BL71" s="18"/>
      <c r="BM71" s="18"/>
      <c r="BN71" s="18"/>
      <c r="BO71" s="18"/>
      <c r="BP71" s="18"/>
    </row>
    <row r="72" spans="1:68" x14ac:dyDescent="0.3">
      <c r="A72" s="28"/>
      <c r="B72" s="116" t="s">
        <v>40</v>
      </c>
      <c r="C72" s="18"/>
      <c r="D72" s="49" t="s">
        <v>77</v>
      </c>
      <c r="E72" s="37" t="s">
        <v>62</v>
      </c>
      <c r="F72" s="123">
        <v>0.26121551999999998</v>
      </c>
      <c r="G72" s="116">
        <v>0.39420462000000001</v>
      </c>
      <c r="H72" s="124">
        <v>0.31950573999999998</v>
      </c>
      <c r="I72" s="123">
        <v>0.10758054</v>
      </c>
      <c r="J72" s="123">
        <v>3.4459433999999997E-2</v>
      </c>
      <c r="K72" s="123">
        <v>0.16068394999999999</v>
      </c>
      <c r="L72" s="248">
        <v>5.2012195999999997E-2</v>
      </c>
      <c r="N72" s="12" t="s">
        <v>87</v>
      </c>
      <c r="O72" s="195" t="e">
        <f>HLOOKUP('Data entry &gt;'!$H$31,energy_footprint,2,FALSE)*$V$14</f>
        <v>#N/A</v>
      </c>
      <c r="P72" s="8" t="s">
        <v>93</v>
      </c>
      <c r="X72" s="12" t="s">
        <v>87</v>
      </c>
      <c r="Y72" s="200" t="e">
        <f>Y85</f>
        <v>#N/A</v>
      </c>
      <c r="Z72" s="200" t="e">
        <f t="shared" ref="Z72:AA72" si="4">Z85</f>
        <v>#N/A</v>
      </c>
      <c r="AA72" s="200" t="e">
        <f t="shared" si="4"/>
        <v>#N/A</v>
      </c>
      <c r="AB72" s="8" t="s">
        <v>106</v>
      </c>
      <c r="AK72" s="53"/>
      <c r="AL72" s="18"/>
      <c r="AM72" s="18"/>
      <c r="AN72" s="18"/>
      <c r="AO72" s="18"/>
      <c r="AP72" s="18"/>
      <c r="AQ72" s="18"/>
      <c r="AR72" s="18"/>
      <c r="AS72" s="18"/>
      <c r="AT72" s="18"/>
      <c r="AU72" s="18"/>
      <c r="AV72" s="18"/>
      <c r="AW72" s="18"/>
      <c r="AX72" s="18"/>
      <c r="AY72" s="18"/>
      <c r="BA72" s="18"/>
      <c r="BB72" s="18"/>
      <c r="BC72" s="18"/>
      <c r="BD72" s="18"/>
      <c r="BE72" s="18"/>
      <c r="BF72" s="18"/>
      <c r="BG72" s="18"/>
      <c r="BH72" s="18"/>
      <c r="BI72" s="18"/>
      <c r="BJ72" s="18"/>
      <c r="BK72" s="18"/>
      <c r="BL72" s="18"/>
      <c r="BM72" s="18"/>
      <c r="BN72" s="18"/>
      <c r="BO72" s="18"/>
      <c r="BP72" s="18"/>
    </row>
    <row r="73" spans="1:68" x14ac:dyDescent="0.3">
      <c r="A73" s="28"/>
      <c r="B73" s="116" t="s">
        <v>84</v>
      </c>
      <c r="C73" s="18"/>
      <c r="D73" s="49" t="s">
        <v>78</v>
      </c>
      <c r="E73" s="37" t="s">
        <v>110</v>
      </c>
      <c r="F73" s="125">
        <v>1.0875371000000001E-8</v>
      </c>
      <c r="G73" s="125">
        <v>3.5755995999999998E-8</v>
      </c>
      <c r="H73" s="125">
        <v>2.0310744E-8</v>
      </c>
      <c r="I73" s="125">
        <v>1.1923118000000001E-7</v>
      </c>
      <c r="J73" s="125">
        <v>7.4781618999999995E-8</v>
      </c>
      <c r="K73" s="125">
        <v>5.5064926999999997E-8</v>
      </c>
      <c r="L73" s="248">
        <v>1.2233121000000001E-7</v>
      </c>
      <c r="N73" s="12" t="s">
        <v>112</v>
      </c>
      <c r="O73" s="16" t="e">
        <f>HLOOKUP('Data entry &gt;'!$H$31,energy_footprint,3,FALSE)*$V$14</f>
        <v>#N/A</v>
      </c>
      <c r="P73" s="8" t="s">
        <v>94</v>
      </c>
      <c r="X73" s="12" t="s">
        <v>63</v>
      </c>
      <c r="Y73" s="200" t="e">
        <f>Y86+Y87</f>
        <v>#N/A</v>
      </c>
      <c r="Z73" s="200" t="e">
        <f t="shared" ref="Z73:AA73" si="5">Z86+Z87</f>
        <v>#N/A</v>
      </c>
      <c r="AA73" s="200" t="e">
        <f t="shared" si="5"/>
        <v>#N/A</v>
      </c>
      <c r="AB73" s="8" t="s">
        <v>106</v>
      </c>
      <c r="AK73" s="53"/>
      <c r="AL73" s="18"/>
      <c r="AM73" s="18"/>
      <c r="AN73" s="18"/>
      <c r="AO73" s="18"/>
      <c r="AP73" s="18"/>
      <c r="AQ73" s="18"/>
      <c r="AR73" s="18"/>
      <c r="AS73" s="18"/>
      <c r="AT73" s="18"/>
      <c r="AU73" s="18"/>
      <c r="AV73" s="18"/>
      <c r="AW73" s="18"/>
      <c r="AX73" s="18"/>
      <c r="AY73" s="18"/>
      <c r="BA73" s="18"/>
      <c r="BB73" s="18"/>
      <c r="BC73" s="18"/>
      <c r="BD73" s="18"/>
      <c r="BE73" s="18"/>
      <c r="BF73" s="18"/>
      <c r="BG73" s="18"/>
      <c r="BH73" s="18"/>
      <c r="BI73" s="18"/>
      <c r="BJ73" s="18"/>
      <c r="BK73" s="18"/>
      <c r="BL73" s="18"/>
      <c r="BM73" s="18"/>
      <c r="BN73" s="18"/>
      <c r="BO73" s="18"/>
      <c r="BP73" s="18"/>
    </row>
    <row r="74" spans="1:68" x14ac:dyDescent="0.3">
      <c r="B74" s="116" t="s">
        <v>152</v>
      </c>
      <c r="C74" s="18"/>
      <c r="D74" s="49" t="s">
        <v>78</v>
      </c>
      <c r="E74" s="37" t="s">
        <v>111</v>
      </c>
      <c r="F74" s="125">
        <v>2.876672E-9</v>
      </c>
      <c r="G74" s="125">
        <v>5.8859549000000002E-9</v>
      </c>
      <c r="H74" s="125">
        <v>4.6838869000000003E-9</v>
      </c>
      <c r="I74" s="125">
        <v>2.5449318E-9</v>
      </c>
      <c r="J74" s="125">
        <v>1.0599085E-8</v>
      </c>
      <c r="K74" s="125">
        <v>9.5620694000000005E-9</v>
      </c>
      <c r="L74" s="248">
        <v>8.0094070999999999E-9</v>
      </c>
      <c r="N74" s="202" t="s">
        <v>113</v>
      </c>
      <c r="O74" s="16" t="e">
        <f>HLOOKUP('Data entry &gt;'!$H$31,energy_footprint,4,FALSE)*$V$14</f>
        <v>#N/A</v>
      </c>
      <c r="P74" s="8" t="s">
        <v>94</v>
      </c>
      <c r="X74" s="12" t="s">
        <v>88</v>
      </c>
      <c r="Y74" s="200" t="e">
        <f t="shared" ref="Y74:AA78" si="6">Y88</f>
        <v>#N/A</v>
      </c>
      <c r="Z74" s="200" t="e">
        <f t="shared" si="6"/>
        <v>#N/A</v>
      </c>
      <c r="AA74" s="200" t="e">
        <f t="shared" si="6"/>
        <v>#N/A</v>
      </c>
      <c r="AB74" s="8" t="s">
        <v>106</v>
      </c>
      <c r="AK74" s="53"/>
      <c r="AL74" s="18"/>
      <c r="AM74" s="18"/>
      <c r="AN74" s="18"/>
      <c r="AO74" s="18"/>
      <c r="AP74" s="18"/>
      <c r="AQ74" s="18"/>
      <c r="AR74" s="18"/>
      <c r="AS74" s="18"/>
      <c r="AT74" s="18"/>
      <c r="AU74" s="18"/>
      <c r="AV74" s="18"/>
      <c r="AW74" s="18"/>
      <c r="AX74" s="18"/>
      <c r="AY74" s="18"/>
      <c r="BA74" s="18"/>
      <c r="BB74" s="18"/>
      <c r="BC74" s="18"/>
      <c r="BD74" s="18"/>
      <c r="BE74" s="18"/>
      <c r="BF74" s="18"/>
      <c r="BG74" s="18"/>
      <c r="BH74" s="18"/>
      <c r="BI74" s="18"/>
      <c r="BJ74" s="18"/>
      <c r="BK74" s="18"/>
      <c r="BL74" s="18"/>
      <c r="BM74" s="18"/>
      <c r="BN74" s="18"/>
      <c r="BO74" s="18"/>
      <c r="BP74" s="18"/>
    </row>
    <row r="75" spans="1:68" x14ac:dyDescent="0.3">
      <c r="B75" s="116" t="s">
        <v>86</v>
      </c>
      <c r="C75" s="18"/>
      <c r="D75" s="49" t="s">
        <v>80</v>
      </c>
      <c r="E75" s="37" t="s">
        <v>64</v>
      </c>
      <c r="F75" s="123">
        <v>2.6106537999999999E-4</v>
      </c>
      <c r="G75" s="116">
        <v>3.3318036E-4</v>
      </c>
      <c r="H75" s="123">
        <v>4.0811508000000002E-4</v>
      </c>
      <c r="I75" s="123">
        <v>6.9228645999999997E-4</v>
      </c>
      <c r="J75" s="123">
        <v>1.3550372E-4</v>
      </c>
      <c r="K75" s="123">
        <v>4.0875846000000001E-4</v>
      </c>
      <c r="L75" s="248">
        <v>6.1463181000000005E-4</v>
      </c>
      <c r="N75" s="12" t="s">
        <v>88</v>
      </c>
      <c r="O75" s="16" t="e">
        <f>HLOOKUP('Data entry &gt;'!$H$31,energy_footprint,5,FALSE)*$V$14</f>
        <v>#N/A</v>
      </c>
      <c r="P75" s="8" t="s">
        <v>95</v>
      </c>
      <c r="X75" s="12" t="s">
        <v>89</v>
      </c>
      <c r="Y75" s="200" t="e">
        <f t="shared" si="6"/>
        <v>#N/A</v>
      </c>
      <c r="Z75" s="200" t="e">
        <f t="shared" si="6"/>
        <v>#N/A</v>
      </c>
      <c r="AA75" s="200" t="e">
        <f t="shared" si="6"/>
        <v>#N/A</v>
      </c>
      <c r="AB75" s="8" t="s">
        <v>106</v>
      </c>
      <c r="AK75" s="53"/>
      <c r="AL75" s="18"/>
      <c r="AM75" s="18"/>
      <c r="AN75" s="18"/>
      <c r="AO75" s="18"/>
      <c r="AP75" s="18"/>
      <c r="AQ75" s="18"/>
      <c r="AR75" s="18"/>
      <c r="AS75" s="18"/>
      <c r="AT75" s="18"/>
      <c r="AU75" s="18"/>
      <c r="AV75" s="18"/>
      <c r="AW75" s="18"/>
      <c r="AX75" s="18"/>
      <c r="AY75" s="18"/>
      <c r="BA75" s="18"/>
      <c r="BB75" s="18"/>
      <c r="BC75" s="18"/>
      <c r="BD75" s="18"/>
      <c r="BE75" s="18"/>
      <c r="BF75" s="18"/>
      <c r="BG75" s="18"/>
      <c r="BH75" s="18"/>
      <c r="BI75" s="18"/>
      <c r="BJ75" s="18"/>
      <c r="BK75" s="18"/>
      <c r="BL75" s="18"/>
      <c r="BM75" s="18"/>
      <c r="BN75" s="18"/>
      <c r="BO75" s="18"/>
      <c r="BP75" s="18"/>
    </row>
    <row r="76" spans="1:68" x14ac:dyDescent="0.3">
      <c r="B76" s="116" t="s">
        <v>85</v>
      </c>
      <c r="C76" s="18"/>
      <c r="D76" s="49" t="s">
        <v>81</v>
      </c>
      <c r="E76" s="37" t="s">
        <v>65</v>
      </c>
      <c r="F76" s="123">
        <v>3.1350170999999997E-4</v>
      </c>
      <c r="G76" s="116">
        <v>3.5509043999999999E-4</v>
      </c>
      <c r="H76" s="123">
        <v>9.1537965000000002E-4</v>
      </c>
      <c r="I76" s="123">
        <v>4.7824340999999998E-4</v>
      </c>
      <c r="J76" s="123">
        <v>3.6570500999999998E-4</v>
      </c>
      <c r="K76" s="123">
        <v>9.3817045000000004E-4</v>
      </c>
      <c r="L76" s="248">
        <v>7.8557273000000002E-4</v>
      </c>
      <c r="N76" s="12" t="s">
        <v>89</v>
      </c>
      <c r="O76" s="16" t="e">
        <f>HLOOKUP('Data entry &gt;'!$H$31,energy_footprint,6,FALSE)*$V$14</f>
        <v>#N/A</v>
      </c>
      <c r="P76" s="8" t="s">
        <v>96</v>
      </c>
      <c r="X76" s="12" t="s">
        <v>90</v>
      </c>
      <c r="Y76" s="200" t="e">
        <f t="shared" si="6"/>
        <v>#N/A</v>
      </c>
      <c r="Z76" s="200" t="e">
        <f t="shared" si="6"/>
        <v>#N/A</v>
      </c>
      <c r="AA76" s="200" t="e">
        <f t="shared" si="6"/>
        <v>#N/A</v>
      </c>
      <c r="AB76" s="8" t="s">
        <v>106</v>
      </c>
      <c r="AK76" s="53"/>
      <c r="AL76" s="18"/>
      <c r="AM76" s="18"/>
      <c r="AN76" s="18"/>
      <c r="AO76" s="18"/>
      <c r="AP76" s="18"/>
      <c r="AQ76" s="18"/>
      <c r="AR76" s="18"/>
      <c r="AS76" s="18"/>
      <c r="AT76" s="18"/>
      <c r="AU76" s="18"/>
      <c r="AV76" s="18"/>
      <c r="AW76" s="18"/>
      <c r="AX76" s="18"/>
      <c r="AY76" s="18"/>
      <c r="BA76" s="18"/>
      <c r="BB76" s="18"/>
      <c r="BC76" s="18"/>
      <c r="BD76" s="18"/>
      <c r="BE76" s="18"/>
      <c r="BF76" s="18"/>
      <c r="BG76" s="18"/>
      <c r="BH76" s="18"/>
      <c r="BI76" s="18"/>
      <c r="BJ76" s="18"/>
      <c r="BK76" s="18"/>
      <c r="BL76" s="18"/>
      <c r="BM76" s="18"/>
      <c r="BN76" s="18"/>
      <c r="BO76" s="18"/>
      <c r="BP76" s="18"/>
    </row>
    <row r="77" spans="1:68" x14ac:dyDescent="0.3">
      <c r="B77" s="116" t="s">
        <v>41</v>
      </c>
      <c r="C77" s="18"/>
      <c r="D77" s="49" t="s">
        <v>82</v>
      </c>
      <c r="E77" s="37" t="s">
        <v>66</v>
      </c>
      <c r="F77" s="123">
        <v>1.1660314000000001E-5</v>
      </c>
      <c r="G77" s="125">
        <v>1.6838658E-5</v>
      </c>
      <c r="H77" s="123">
        <v>1.7840862999999999E-5</v>
      </c>
      <c r="I77" s="123">
        <v>1.6169982E-5</v>
      </c>
      <c r="J77" s="123">
        <v>4.6750689000000003E-5</v>
      </c>
      <c r="K77" s="123">
        <v>6.6843481999999995E-5</v>
      </c>
      <c r="L77" s="248">
        <v>2.5775209000000001E-5</v>
      </c>
      <c r="N77" s="12" t="s">
        <v>90</v>
      </c>
      <c r="O77" s="16" t="e">
        <f>HLOOKUP('Data entry &gt;'!$H$31,energy_footprint,7,FALSE)*$V$14</f>
        <v>#N/A</v>
      </c>
      <c r="P77" s="8" t="s">
        <v>97</v>
      </c>
      <c r="X77" s="12" t="s">
        <v>91</v>
      </c>
      <c r="Y77" s="200" t="e">
        <f t="shared" si="6"/>
        <v>#N/A</v>
      </c>
      <c r="Z77" s="200" t="e">
        <f t="shared" si="6"/>
        <v>#N/A</v>
      </c>
      <c r="AA77" s="200" t="e">
        <f t="shared" si="6"/>
        <v>#N/A</v>
      </c>
      <c r="AB77" s="8" t="s">
        <v>106</v>
      </c>
      <c r="AK77" s="53"/>
      <c r="AL77" s="18"/>
      <c r="AM77" s="18"/>
      <c r="AN77" s="18"/>
      <c r="AO77" s="18"/>
      <c r="AP77" s="18"/>
      <c r="AQ77" s="18"/>
      <c r="AR77" s="18"/>
      <c r="AS77" s="18"/>
      <c r="AT77" s="18"/>
      <c r="AU77" s="18"/>
      <c r="AV77" s="18"/>
      <c r="AW77" s="18"/>
      <c r="AX77" s="18"/>
      <c r="AY77" s="18"/>
      <c r="BA77" s="18"/>
      <c r="BB77" s="18"/>
      <c r="BC77" s="18"/>
      <c r="BD77" s="18"/>
      <c r="BE77" s="18"/>
      <c r="BF77" s="18"/>
      <c r="BG77" s="18"/>
      <c r="BH77" s="18"/>
      <c r="BI77" s="18"/>
      <c r="BJ77" s="18"/>
      <c r="BK77" s="18"/>
      <c r="BL77" s="18"/>
      <c r="BM77" s="18"/>
      <c r="BN77" s="18"/>
      <c r="BO77" s="18"/>
      <c r="BP77" s="18"/>
    </row>
    <row r="78" spans="1:68" ht="15" thickBot="1" x14ac:dyDescent="0.35">
      <c r="B78" s="116" t="s">
        <v>42</v>
      </c>
      <c r="C78" s="18"/>
      <c r="D78" s="49" t="s">
        <v>79</v>
      </c>
      <c r="E78" s="37" t="s">
        <v>67</v>
      </c>
      <c r="F78" s="123">
        <v>0.40261345999999998</v>
      </c>
      <c r="G78" s="116">
        <v>11.434620000000001</v>
      </c>
      <c r="H78" s="123">
        <v>0.54473404000000003</v>
      </c>
      <c r="I78" s="123">
        <v>0.48388593000000002</v>
      </c>
      <c r="J78" s="123">
        <v>1.8989784000000001</v>
      </c>
      <c r="K78" s="123">
        <v>3.0086662</v>
      </c>
      <c r="L78" s="248">
        <v>2.5325896000000001</v>
      </c>
      <c r="N78" s="12" t="s">
        <v>91</v>
      </c>
      <c r="O78" s="16" t="e">
        <f>HLOOKUP('Data entry &gt;'!$H$31,energy_footprint,8,FALSE)*$V$14</f>
        <v>#N/A</v>
      </c>
      <c r="P78" s="8" t="s">
        <v>98</v>
      </c>
      <c r="X78" s="159" t="s">
        <v>92</v>
      </c>
      <c r="Y78" s="200" t="e">
        <f t="shared" si="6"/>
        <v>#N/A</v>
      </c>
      <c r="Z78" s="200" t="e">
        <f t="shared" si="6"/>
        <v>#N/A</v>
      </c>
      <c r="AA78" s="200" t="e">
        <f t="shared" si="6"/>
        <v>#N/A</v>
      </c>
      <c r="AB78" s="10" t="s">
        <v>106</v>
      </c>
      <c r="AK78" s="53"/>
      <c r="AL78" s="18"/>
      <c r="AM78" s="18"/>
      <c r="AN78" s="18"/>
      <c r="AO78" s="18"/>
      <c r="AP78" s="18"/>
      <c r="AQ78" s="18"/>
      <c r="AR78" s="18"/>
      <c r="AS78" s="18"/>
      <c r="AT78" s="18"/>
      <c r="AU78" s="18"/>
      <c r="AV78" s="18"/>
      <c r="AW78" s="18"/>
      <c r="AX78" s="18"/>
      <c r="AY78" s="18"/>
      <c r="BA78" s="18"/>
      <c r="BB78" s="18"/>
      <c r="BC78" s="18"/>
      <c r="BD78" s="18"/>
      <c r="BE78" s="18"/>
      <c r="BF78" s="18"/>
      <c r="BG78" s="18"/>
      <c r="BH78" s="18"/>
      <c r="BI78" s="18"/>
      <c r="BJ78" s="18"/>
      <c r="BK78" s="18"/>
      <c r="BL78" s="18"/>
      <c r="BM78" s="18"/>
      <c r="BN78" s="18"/>
      <c r="BO78" s="18"/>
      <c r="BP78" s="18"/>
    </row>
    <row r="79" spans="1:68" ht="15" thickBot="1" x14ac:dyDescent="0.35">
      <c r="B79" s="18"/>
      <c r="C79" s="18"/>
      <c r="D79" s="216" t="s">
        <v>83</v>
      </c>
      <c r="E79" s="225" t="s">
        <v>68</v>
      </c>
      <c r="F79" s="246">
        <v>1.5894891E-6</v>
      </c>
      <c r="G79" s="247">
        <v>2.6476591999999999E-6</v>
      </c>
      <c r="H79" s="246">
        <v>2.3312164E-6</v>
      </c>
      <c r="I79" s="246">
        <v>6.7939487999999996E-7</v>
      </c>
      <c r="J79" s="246">
        <v>6.2759142000000002E-6</v>
      </c>
      <c r="K79" s="246">
        <v>2.6057655999999998E-6</v>
      </c>
      <c r="L79" s="249">
        <v>3.8516093999999999E-6</v>
      </c>
      <c r="N79" s="159" t="s">
        <v>92</v>
      </c>
      <c r="O79" s="198" t="e">
        <f>HLOOKUP('Data entry &gt;'!$H$31,energy_footprint,9,FALSE)*$V$14</f>
        <v>#N/A</v>
      </c>
      <c r="P79" s="10" t="s">
        <v>99</v>
      </c>
      <c r="W79" s="290"/>
      <c r="X79" s="291" t="s">
        <v>248</v>
      </c>
      <c r="AC79" s="37"/>
      <c r="AD79" s="37"/>
      <c r="AK79" s="53"/>
      <c r="AL79" s="18"/>
      <c r="AM79" s="18"/>
      <c r="AN79" s="18"/>
      <c r="AO79" s="18"/>
      <c r="AP79" s="18"/>
      <c r="AQ79" s="18"/>
      <c r="AR79" s="18"/>
      <c r="AS79" s="18"/>
      <c r="AT79" s="18"/>
      <c r="AU79" s="18"/>
      <c r="AV79" s="18"/>
      <c r="AW79" s="18"/>
      <c r="AX79" s="18"/>
      <c r="AY79" s="18"/>
      <c r="BA79" s="18"/>
      <c r="BB79" s="18"/>
      <c r="BC79" s="18"/>
      <c r="BD79" s="18"/>
      <c r="BE79" s="18"/>
      <c r="BF79" s="18"/>
      <c r="BG79" s="18"/>
      <c r="BH79" s="18"/>
      <c r="BI79" s="18"/>
      <c r="BJ79" s="18"/>
      <c r="BK79" s="18"/>
      <c r="BL79" s="18"/>
      <c r="BM79" s="18"/>
      <c r="BN79" s="18"/>
      <c r="BO79" s="18"/>
      <c r="BP79" s="18"/>
    </row>
    <row r="80" spans="1:68" x14ac:dyDescent="0.3">
      <c r="B80" s="18"/>
      <c r="C80" s="18"/>
      <c r="D80" s="386" t="s">
        <v>103</v>
      </c>
      <c r="E80" s="18"/>
      <c r="F80" s="18"/>
      <c r="G80" s="18"/>
      <c r="H80" s="18"/>
      <c r="I80" s="18"/>
      <c r="J80" s="181"/>
      <c r="K80" s="18"/>
      <c r="L80" s="28" t="s">
        <v>211</v>
      </c>
      <c r="AA80" s="34"/>
      <c r="AB80" s="34"/>
      <c r="AC80" s="37"/>
      <c r="AD80" s="37"/>
      <c r="AK80" s="53"/>
      <c r="AL80" s="18"/>
      <c r="AM80" s="18"/>
      <c r="AN80" s="18"/>
      <c r="AO80" s="18"/>
      <c r="AP80" s="18"/>
      <c r="AQ80" s="18"/>
      <c r="AR80" s="18"/>
      <c r="AS80" s="18"/>
      <c r="AT80" s="18"/>
      <c r="AU80" s="18"/>
      <c r="AV80" s="18"/>
      <c r="AW80" s="18"/>
      <c r="AX80" s="18"/>
      <c r="AY80" s="18"/>
      <c r="BA80" s="18"/>
      <c r="BB80" s="18"/>
      <c r="BC80" s="18"/>
      <c r="BD80" s="18"/>
      <c r="BE80" s="18"/>
      <c r="BF80" s="18"/>
      <c r="BG80" s="18"/>
      <c r="BH80" s="18"/>
      <c r="BI80" s="18"/>
      <c r="BJ80" s="18"/>
      <c r="BK80" s="18"/>
      <c r="BL80" s="18"/>
      <c r="BM80" s="18"/>
      <c r="BN80" s="18"/>
      <c r="BO80" s="18"/>
      <c r="BP80" s="18"/>
    </row>
    <row r="81" spans="2:68" x14ac:dyDescent="0.3">
      <c r="B81" s="18"/>
      <c r="C81" s="18"/>
      <c r="D81" s="18"/>
      <c r="E81" s="18"/>
      <c r="F81" s="18"/>
      <c r="G81" s="18"/>
      <c r="H81" s="18"/>
      <c r="I81" s="18"/>
      <c r="J81" s="18"/>
      <c r="K81" s="18"/>
      <c r="L81" s="28" t="s">
        <v>299</v>
      </c>
      <c r="AC81" s="37"/>
      <c r="AD81" s="37"/>
      <c r="AK81" s="53"/>
      <c r="AL81" s="18"/>
      <c r="AM81" s="18"/>
      <c r="AN81" s="18"/>
      <c r="AO81" s="18"/>
      <c r="AP81" s="18"/>
      <c r="AQ81" s="18"/>
      <c r="AR81" s="18"/>
      <c r="AS81" s="18"/>
      <c r="AT81" s="18"/>
      <c r="AU81" s="18"/>
      <c r="AV81" s="18"/>
      <c r="AW81" s="18"/>
      <c r="AX81" s="18"/>
      <c r="AY81" s="18"/>
      <c r="BA81" s="18"/>
      <c r="BB81" s="18"/>
      <c r="BC81" s="18"/>
      <c r="BD81" s="18"/>
      <c r="BE81" s="18"/>
      <c r="BF81" s="18"/>
      <c r="BG81" s="18"/>
      <c r="BH81" s="18"/>
      <c r="BI81" s="18"/>
      <c r="BJ81" s="18"/>
      <c r="BK81" s="18"/>
      <c r="BL81" s="18"/>
      <c r="BM81" s="18"/>
      <c r="BN81" s="18"/>
      <c r="BO81" s="18"/>
      <c r="BP81" s="18"/>
    </row>
    <row r="82" spans="2:68" ht="15" thickBot="1" x14ac:dyDescent="0.35">
      <c r="B82" s="18"/>
      <c r="C82" s="18"/>
      <c r="D82" s="18"/>
      <c r="E82" s="18"/>
      <c r="F82" s="18"/>
      <c r="G82" s="18"/>
      <c r="H82" s="18"/>
      <c r="I82" s="18"/>
      <c r="J82" s="181"/>
      <c r="K82" s="18"/>
      <c r="L82" s="28"/>
      <c r="AC82" s="37"/>
      <c r="AK82" s="53"/>
      <c r="AL82" s="18"/>
      <c r="AM82" s="18"/>
      <c r="AN82" s="18"/>
      <c r="AO82" s="18"/>
      <c r="AP82" s="18"/>
      <c r="AQ82" s="18"/>
      <c r="AR82" s="18"/>
      <c r="AS82" s="18"/>
      <c r="AT82" s="18"/>
      <c r="AU82" s="18"/>
      <c r="AV82" s="18"/>
      <c r="AW82" s="18"/>
      <c r="AX82" s="18"/>
      <c r="AY82" s="18"/>
      <c r="BA82" s="18"/>
      <c r="BB82" s="18"/>
      <c r="BC82" s="18"/>
      <c r="BD82" s="18"/>
      <c r="BE82" s="18"/>
      <c r="BF82" s="18"/>
      <c r="BG82" s="18"/>
      <c r="BH82" s="18"/>
      <c r="BI82" s="18"/>
      <c r="BJ82" s="18"/>
      <c r="BK82" s="18"/>
      <c r="BL82" s="18"/>
      <c r="BM82" s="18"/>
      <c r="BN82" s="18"/>
      <c r="BO82" s="18"/>
      <c r="BP82" s="18"/>
    </row>
    <row r="83" spans="2:68" ht="15" thickBot="1" x14ac:dyDescent="0.35">
      <c r="B83" s="18"/>
      <c r="C83" s="18"/>
      <c r="D83" s="18"/>
      <c r="E83" s="18"/>
      <c r="F83" s="18"/>
      <c r="G83" s="18"/>
      <c r="H83" s="18"/>
      <c r="I83" s="18"/>
      <c r="J83" s="18"/>
      <c r="K83" s="18"/>
      <c r="L83" s="28"/>
      <c r="N83" s="288" t="s">
        <v>244</v>
      </c>
      <c r="O83" s="239"/>
      <c r="P83" s="266"/>
      <c r="R83" s="143" t="s">
        <v>237</v>
      </c>
      <c r="S83" s="144"/>
      <c r="T83" s="144"/>
      <c r="U83" s="144"/>
      <c r="V83" s="145"/>
      <c r="X83" s="193" t="s">
        <v>247</v>
      </c>
      <c r="Y83" s="144"/>
      <c r="Z83" s="144"/>
      <c r="AA83" s="144"/>
      <c r="AB83" s="145"/>
      <c r="AC83" s="37"/>
      <c r="AK83" s="53"/>
      <c r="AL83" s="18"/>
      <c r="AM83" s="18"/>
      <c r="AN83" s="18"/>
      <c r="AO83" s="18"/>
      <c r="AP83" s="18"/>
      <c r="AQ83" s="18"/>
      <c r="AR83" s="18"/>
      <c r="AS83" s="18"/>
      <c r="AT83" s="18"/>
      <c r="AU83" s="18"/>
      <c r="AV83" s="18"/>
      <c r="AW83" s="18"/>
      <c r="AX83" s="18"/>
      <c r="AY83" s="18"/>
      <c r="BA83" s="18"/>
      <c r="BB83" s="18"/>
      <c r="BC83" s="18"/>
      <c r="BD83" s="18"/>
      <c r="BE83" s="18"/>
      <c r="BF83" s="18"/>
      <c r="BG83" s="18"/>
      <c r="BH83" s="18"/>
      <c r="BI83" s="18"/>
      <c r="BJ83" s="18"/>
      <c r="BK83" s="18"/>
      <c r="BL83" s="18"/>
      <c r="BM83" s="18"/>
      <c r="BN83" s="18"/>
      <c r="BO83" s="18"/>
      <c r="BP83" s="18"/>
    </row>
    <row r="84" spans="2:68" ht="15" thickBot="1" x14ac:dyDescent="0.35">
      <c r="B84" s="143" t="s">
        <v>60</v>
      </c>
      <c r="C84" s="144"/>
      <c r="D84" s="144"/>
      <c r="E84" s="126" t="s">
        <v>121</v>
      </c>
      <c r="F84" s="81"/>
      <c r="G84" s="81"/>
      <c r="H84" s="81"/>
      <c r="I84" s="81"/>
      <c r="J84" s="82"/>
      <c r="K84" s="18"/>
      <c r="L84" s="28"/>
      <c r="N84" s="285" t="s">
        <v>61</v>
      </c>
      <c r="O84" s="196" t="s">
        <v>243</v>
      </c>
      <c r="P84" s="286" t="s">
        <v>108</v>
      </c>
      <c r="R84" s="80" t="s">
        <v>61</v>
      </c>
      <c r="S84" s="197" t="s">
        <v>123</v>
      </c>
      <c r="T84" s="197" t="s">
        <v>245</v>
      </c>
      <c r="U84" s="197" t="s">
        <v>124</v>
      </c>
      <c r="V84" s="83" t="s">
        <v>108</v>
      </c>
      <c r="X84" s="84"/>
      <c r="Y84" s="196" t="s">
        <v>35</v>
      </c>
      <c r="Z84" s="196" t="s">
        <v>37</v>
      </c>
      <c r="AA84" s="196" t="s">
        <v>124</v>
      </c>
      <c r="AB84" s="82"/>
      <c r="AC84" s="37"/>
      <c r="AK84" s="53"/>
      <c r="AL84" s="18"/>
      <c r="AM84" s="18"/>
      <c r="AN84" s="18"/>
      <c r="AO84" s="18"/>
      <c r="AP84" s="18"/>
      <c r="AQ84" s="18"/>
      <c r="AR84" s="18"/>
      <c r="AS84" s="18"/>
      <c r="AT84" s="18"/>
      <c r="AU84" s="18"/>
      <c r="AV84" s="18"/>
      <c r="AW84" s="18"/>
      <c r="AX84" s="18"/>
      <c r="AY84" s="18"/>
      <c r="BA84" s="18"/>
      <c r="BB84" s="18"/>
      <c r="BC84" s="18"/>
      <c r="BD84" s="18"/>
      <c r="BE84" s="18"/>
      <c r="BF84" s="18"/>
      <c r="BG84" s="18"/>
      <c r="BH84" s="18"/>
      <c r="BI84" s="18"/>
      <c r="BJ84" s="18"/>
      <c r="BK84" s="18"/>
      <c r="BL84" s="18"/>
      <c r="BM84" s="18"/>
      <c r="BN84" s="18"/>
      <c r="BO84" s="18"/>
      <c r="BP84" s="18"/>
    </row>
    <row r="85" spans="2:68" ht="15" thickBot="1" x14ac:dyDescent="0.35">
      <c r="B85" s="6"/>
      <c r="C85" s="37"/>
      <c r="D85" s="37"/>
      <c r="E85" s="37" t="s">
        <v>119</v>
      </c>
      <c r="F85" s="37" t="s">
        <v>119</v>
      </c>
      <c r="G85" s="37" t="s">
        <v>119</v>
      </c>
      <c r="H85" s="37" t="s">
        <v>122</v>
      </c>
      <c r="I85" s="37"/>
      <c r="J85" s="8"/>
      <c r="K85" s="18"/>
      <c r="L85" s="28"/>
      <c r="N85" s="267" t="s">
        <v>87</v>
      </c>
      <c r="O85" s="192" t="e">
        <f t="shared" ref="O85:O92" si="7">O72*$C$28</f>
        <v>#N/A</v>
      </c>
      <c r="P85" s="215" t="s">
        <v>93</v>
      </c>
      <c r="R85" s="12" t="s">
        <v>87</v>
      </c>
      <c r="S85" s="195" t="e">
        <f t="shared" ref="S85:S92" si="8">(VLOOKUP($O$14,kitchen_heat,3,TRUE))*D87</f>
        <v>#N/A</v>
      </c>
      <c r="T85" s="195">
        <f>'Data entry &gt;'!$H$40*$G$46*E87</f>
        <v>0</v>
      </c>
      <c r="U85" s="195" t="e">
        <f>SUM(S85:T85)</f>
        <v>#N/A</v>
      </c>
      <c r="V85" s="8" t="s">
        <v>93</v>
      </c>
      <c r="X85" s="12" t="s">
        <v>87</v>
      </c>
      <c r="Y85" s="200" t="e">
        <f t="shared" ref="Y85:Y92" si="9">S85/O72</f>
        <v>#N/A</v>
      </c>
      <c r="Z85" s="200" t="e">
        <f t="shared" ref="Z85:Z92" si="10">T85/O72</f>
        <v>#N/A</v>
      </c>
      <c r="AA85" s="200" t="e">
        <f t="shared" ref="AA85:AA92" si="11">U85/O72</f>
        <v>#N/A</v>
      </c>
      <c r="AB85" s="8" t="s">
        <v>106</v>
      </c>
      <c r="AK85" s="53"/>
      <c r="AL85" s="18"/>
      <c r="AM85" s="18"/>
      <c r="AN85" s="18"/>
      <c r="AO85" s="18"/>
      <c r="AP85" s="18"/>
      <c r="AQ85" s="18"/>
      <c r="AR85" s="18"/>
      <c r="AS85" s="18"/>
      <c r="AT85" s="18"/>
      <c r="AU85" s="18"/>
      <c r="AV85" s="18"/>
      <c r="AW85" s="18"/>
      <c r="AX85" s="18"/>
      <c r="AY85" s="18"/>
      <c r="BA85" s="18"/>
      <c r="BB85" s="18"/>
      <c r="BC85" s="18"/>
      <c r="BD85" s="18"/>
      <c r="BE85" s="18"/>
      <c r="BF85" s="18"/>
      <c r="BG85" s="18"/>
      <c r="BH85" s="18"/>
      <c r="BI85" s="18"/>
      <c r="BJ85" s="18"/>
      <c r="BK85" s="18"/>
      <c r="BL85" s="18"/>
      <c r="BM85" s="18"/>
      <c r="BN85" s="18"/>
      <c r="BO85" s="18"/>
      <c r="BP85" s="18"/>
    </row>
    <row r="86" spans="2:68" ht="15" thickBot="1" x14ac:dyDescent="0.35">
      <c r="B86" s="80" t="s">
        <v>108</v>
      </c>
      <c r="C86" s="86" t="s">
        <v>61</v>
      </c>
      <c r="D86" s="87" t="s">
        <v>72</v>
      </c>
      <c r="E86" s="126" t="str">
        <f>F43</f>
        <v>plastic (PE)</v>
      </c>
      <c r="F86" s="121" t="str">
        <f>F44</f>
        <v>steel</v>
      </c>
      <c r="G86" s="121" t="str">
        <f>F45</f>
        <v>copper</v>
      </c>
      <c r="H86" s="127">
        <v>1</v>
      </c>
      <c r="I86" s="86" t="s">
        <v>114</v>
      </c>
      <c r="J86" s="82"/>
      <c r="K86" s="18"/>
      <c r="L86" s="28"/>
      <c r="N86" s="267" t="s">
        <v>112</v>
      </c>
      <c r="O86" s="192" t="e">
        <f t="shared" si="7"/>
        <v>#N/A</v>
      </c>
      <c r="P86" s="215" t="s">
        <v>94</v>
      </c>
      <c r="R86" s="12" t="s">
        <v>112</v>
      </c>
      <c r="S86" s="195" t="e">
        <f t="shared" si="8"/>
        <v>#N/A</v>
      </c>
      <c r="T86" s="195">
        <f>'Data entry &gt;'!$H$40*$G$46*E88</f>
        <v>0</v>
      </c>
      <c r="U86" s="16" t="e">
        <f t="shared" ref="U86:U92" si="12">SUM(S86:T86)</f>
        <v>#N/A</v>
      </c>
      <c r="V86" s="8" t="s">
        <v>94</v>
      </c>
      <c r="X86" s="12" t="s">
        <v>112</v>
      </c>
      <c r="Y86" s="200" t="e">
        <f t="shared" si="9"/>
        <v>#N/A</v>
      </c>
      <c r="Z86" s="200" t="e">
        <f t="shared" si="10"/>
        <v>#N/A</v>
      </c>
      <c r="AA86" s="200" t="e">
        <f t="shared" si="11"/>
        <v>#N/A</v>
      </c>
      <c r="AB86" s="8" t="s">
        <v>106</v>
      </c>
      <c r="AK86" s="53"/>
      <c r="AL86" s="18"/>
      <c r="AM86" s="18"/>
      <c r="AN86" s="18"/>
      <c r="AO86" s="18"/>
      <c r="AP86" s="18"/>
      <c r="AQ86" s="18"/>
      <c r="AR86" s="18"/>
      <c r="AS86" s="18"/>
      <c r="AT86" s="18"/>
      <c r="AU86" s="18"/>
      <c r="AV86" s="18"/>
      <c r="AW86" s="18"/>
      <c r="AX86" s="18"/>
      <c r="AY86" s="18"/>
      <c r="BA86" s="18"/>
      <c r="BB86" s="18"/>
      <c r="BC86" s="18"/>
      <c r="BD86" s="18"/>
      <c r="BE86" s="18"/>
      <c r="BF86" s="18"/>
      <c r="BG86" s="18"/>
      <c r="BH86" s="18"/>
      <c r="BI86" s="18"/>
      <c r="BJ86" s="18"/>
      <c r="BK86" s="18"/>
      <c r="BL86" s="18"/>
      <c r="BM86" s="18"/>
      <c r="BN86" s="18"/>
      <c r="BO86" s="18"/>
      <c r="BP86" s="18"/>
    </row>
    <row r="87" spans="2:68" x14ac:dyDescent="0.3">
      <c r="B87" s="6" t="s">
        <v>77</v>
      </c>
      <c r="C87" s="37" t="s">
        <v>62</v>
      </c>
      <c r="D87" s="88">
        <v>29.332153551829997</v>
      </c>
      <c r="E87" s="128">
        <v>1.3111862091053841</v>
      </c>
      <c r="F87" s="129">
        <v>4.661772307990681</v>
      </c>
      <c r="G87" s="129">
        <v>5.4888202829949835</v>
      </c>
      <c r="H87" s="130">
        <v>2</v>
      </c>
      <c r="I87" s="37" t="s">
        <v>62</v>
      </c>
      <c r="J87" s="383">
        <f>I137</f>
        <v>0</v>
      </c>
      <c r="K87" s="18"/>
      <c r="L87" s="28"/>
      <c r="N87" s="287" t="s">
        <v>113</v>
      </c>
      <c r="O87" s="192" t="e">
        <f t="shared" si="7"/>
        <v>#N/A</v>
      </c>
      <c r="P87" s="215" t="s">
        <v>94</v>
      </c>
      <c r="R87" s="202" t="s">
        <v>113</v>
      </c>
      <c r="S87" s="195" t="e">
        <f t="shared" si="8"/>
        <v>#N/A</v>
      </c>
      <c r="T87" s="195">
        <f>'Data entry &gt;'!$H$40*$G$46*E89</f>
        <v>0</v>
      </c>
      <c r="U87" s="16" t="e">
        <f t="shared" si="12"/>
        <v>#N/A</v>
      </c>
      <c r="V87" s="8" t="s">
        <v>94</v>
      </c>
      <c r="X87" s="202" t="s">
        <v>113</v>
      </c>
      <c r="Y87" s="200" t="e">
        <f t="shared" si="9"/>
        <v>#N/A</v>
      </c>
      <c r="Z87" s="200" t="e">
        <f t="shared" si="10"/>
        <v>#N/A</v>
      </c>
      <c r="AA87" s="200" t="e">
        <f t="shared" si="11"/>
        <v>#N/A</v>
      </c>
      <c r="AB87" s="8" t="s">
        <v>106</v>
      </c>
      <c r="AK87" s="53"/>
      <c r="AL87" s="18"/>
      <c r="AM87" s="18"/>
      <c r="AN87" s="18"/>
      <c r="AO87" s="18"/>
      <c r="AP87" s="18"/>
      <c r="AQ87" s="18"/>
      <c r="AR87" s="18"/>
      <c r="AS87" s="18"/>
      <c r="AT87" s="18"/>
      <c r="AU87" s="18"/>
      <c r="AV87" s="18"/>
      <c r="AW87" s="18"/>
      <c r="AX87" s="18"/>
      <c r="AY87" s="18"/>
      <c r="BA87" s="18"/>
      <c r="BB87" s="18"/>
      <c r="BC87" s="18"/>
      <c r="BD87" s="18"/>
      <c r="BE87" s="18"/>
      <c r="BF87" s="18"/>
      <c r="BG87" s="18"/>
      <c r="BH87" s="18"/>
      <c r="BI87" s="18"/>
      <c r="BJ87" s="18"/>
      <c r="BK87" s="18"/>
      <c r="BL87" s="18"/>
      <c r="BM87" s="18"/>
      <c r="BN87" s="18"/>
      <c r="BO87" s="18"/>
      <c r="BP87" s="18"/>
    </row>
    <row r="88" spans="2:68" x14ac:dyDescent="0.3">
      <c r="B88" s="6" t="s">
        <v>78</v>
      </c>
      <c r="C88" s="37" t="s">
        <v>110</v>
      </c>
      <c r="D88" s="89">
        <v>2.3162760922092001E-4</v>
      </c>
      <c r="E88" s="125">
        <v>4.9206570312709E-7</v>
      </c>
      <c r="F88" s="131">
        <v>3.1398099258411201E-6</v>
      </c>
      <c r="G88" s="131">
        <v>4.2267941969881098E-5</v>
      </c>
      <c r="H88" s="130">
        <v>3</v>
      </c>
      <c r="I88" s="37" t="s">
        <v>110</v>
      </c>
      <c r="J88" s="383">
        <f>I139</f>
        <v>0</v>
      </c>
      <c r="K88" s="18"/>
      <c r="L88" s="28"/>
      <c r="N88" s="267" t="s">
        <v>88</v>
      </c>
      <c r="O88" s="192" t="e">
        <f t="shared" si="7"/>
        <v>#N/A</v>
      </c>
      <c r="P88" s="215" t="s">
        <v>95</v>
      </c>
      <c r="R88" s="12" t="s">
        <v>88</v>
      </c>
      <c r="S88" s="195" t="e">
        <f t="shared" si="8"/>
        <v>#N/A</v>
      </c>
      <c r="T88" s="195">
        <f>'Data entry &gt;'!$H$40*$G$46*E90</f>
        <v>0</v>
      </c>
      <c r="U88" s="16" t="e">
        <f t="shared" si="12"/>
        <v>#N/A</v>
      </c>
      <c r="V88" s="8" t="s">
        <v>95</v>
      </c>
      <c r="X88" s="12" t="s">
        <v>88</v>
      </c>
      <c r="Y88" s="200" t="e">
        <f t="shared" si="9"/>
        <v>#N/A</v>
      </c>
      <c r="Z88" s="200" t="e">
        <f t="shared" si="10"/>
        <v>#N/A</v>
      </c>
      <c r="AA88" s="200" t="e">
        <f t="shared" si="11"/>
        <v>#N/A</v>
      </c>
      <c r="AB88" s="8" t="s">
        <v>106</v>
      </c>
      <c r="AK88" s="53"/>
      <c r="AL88" s="18"/>
      <c r="AM88" s="18"/>
      <c r="AN88" s="18"/>
      <c r="AO88" s="18"/>
      <c r="AP88" s="18"/>
      <c r="AQ88" s="18"/>
      <c r="AR88" s="18"/>
      <c r="AS88" s="18"/>
      <c r="AT88" s="18"/>
      <c r="AU88" s="18"/>
      <c r="AV88" s="18"/>
      <c r="AW88" s="18"/>
      <c r="AX88" s="18"/>
      <c r="AY88" s="18"/>
      <c r="BA88" s="18"/>
      <c r="BB88" s="18"/>
      <c r="BC88" s="18"/>
      <c r="BD88" s="18"/>
      <c r="BE88" s="18"/>
      <c r="BF88" s="18"/>
      <c r="BG88" s="18"/>
      <c r="BH88" s="18"/>
      <c r="BI88" s="18"/>
      <c r="BJ88" s="18"/>
      <c r="BK88" s="18"/>
      <c r="BL88" s="18"/>
      <c r="BM88" s="18"/>
      <c r="BN88" s="18"/>
      <c r="BO88" s="18"/>
      <c r="BP88" s="18"/>
    </row>
    <row r="89" spans="2:68" x14ac:dyDescent="0.3">
      <c r="B89" s="6" t="s">
        <v>78</v>
      </c>
      <c r="C89" s="37" t="s">
        <v>111</v>
      </c>
      <c r="D89" s="89">
        <v>9.7150878332891997E-6</v>
      </c>
      <c r="E89" s="125">
        <v>5.7027952357136994E-8</v>
      </c>
      <c r="F89" s="131">
        <v>3.1400675033498045E-6</v>
      </c>
      <c r="G89" s="131">
        <v>1.7368385982273367E-6</v>
      </c>
      <c r="H89" s="130">
        <v>4</v>
      </c>
      <c r="I89" s="37" t="s">
        <v>111</v>
      </c>
      <c r="J89" s="383">
        <f>I140</f>
        <v>0</v>
      </c>
      <c r="K89" s="18"/>
      <c r="L89" s="28"/>
      <c r="N89" s="267" t="s">
        <v>89</v>
      </c>
      <c r="O89" s="192" t="e">
        <f t="shared" si="7"/>
        <v>#N/A</v>
      </c>
      <c r="P89" s="215" t="s">
        <v>96</v>
      </c>
      <c r="R89" s="12" t="s">
        <v>89</v>
      </c>
      <c r="S89" s="195" t="e">
        <f t="shared" si="8"/>
        <v>#N/A</v>
      </c>
      <c r="T89" s="195">
        <f>'Data entry &gt;'!$H$40*$G$46*E91</f>
        <v>0</v>
      </c>
      <c r="U89" s="16" t="e">
        <f t="shared" si="12"/>
        <v>#N/A</v>
      </c>
      <c r="V89" s="8" t="s">
        <v>96</v>
      </c>
      <c r="X89" s="12" t="s">
        <v>89</v>
      </c>
      <c r="Y89" s="200" t="e">
        <f t="shared" si="9"/>
        <v>#N/A</v>
      </c>
      <c r="Z89" s="200" t="e">
        <f t="shared" si="10"/>
        <v>#N/A</v>
      </c>
      <c r="AA89" s="200" t="e">
        <f t="shared" si="11"/>
        <v>#N/A</v>
      </c>
      <c r="AB89" s="8" t="s">
        <v>106</v>
      </c>
      <c r="AK89" s="53"/>
      <c r="AL89" s="18"/>
      <c r="AM89" s="18"/>
      <c r="AN89" s="18"/>
      <c r="AO89" s="18"/>
      <c r="AP89" s="18"/>
      <c r="AQ89" s="18"/>
      <c r="AR89" s="18"/>
      <c r="AS89" s="18"/>
      <c r="AT89" s="18"/>
      <c r="AU89" s="18"/>
      <c r="AV89" s="18"/>
      <c r="AW89" s="18"/>
      <c r="AX89" s="18"/>
      <c r="AY89" s="18"/>
      <c r="BA89" s="18"/>
      <c r="BB89" s="18"/>
      <c r="BC89" s="18"/>
      <c r="BD89" s="18"/>
      <c r="BE89" s="18"/>
      <c r="BF89" s="18"/>
      <c r="BG89" s="18"/>
      <c r="BH89" s="18"/>
      <c r="BI89" s="18"/>
      <c r="BJ89" s="18"/>
      <c r="BK89" s="18"/>
      <c r="BL89" s="18"/>
      <c r="BM89" s="18"/>
      <c r="BN89" s="18"/>
      <c r="BO89" s="18"/>
      <c r="BP89" s="18"/>
    </row>
    <row r="90" spans="2:68" x14ac:dyDescent="0.3">
      <c r="B90" s="6" t="s">
        <v>80</v>
      </c>
      <c r="C90" s="37" t="s">
        <v>64</v>
      </c>
      <c r="D90" s="90">
        <v>0.17551079613009599</v>
      </c>
      <c r="E90" s="128">
        <v>4.3477211353039023E-3</v>
      </c>
      <c r="F90" s="129">
        <v>1.7821501794501888E-2</v>
      </c>
      <c r="G90" s="129">
        <v>3.2794765168915899E-2</v>
      </c>
      <c r="H90" s="130">
        <v>5</v>
      </c>
      <c r="I90" s="37" t="s">
        <v>64</v>
      </c>
      <c r="J90" s="383">
        <f>I144</f>
        <v>0</v>
      </c>
      <c r="K90" s="18"/>
      <c r="L90" s="28"/>
      <c r="N90" s="267" t="s">
        <v>90</v>
      </c>
      <c r="O90" s="192" t="e">
        <f t="shared" si="7"/>
        <v>#N/A</v>
      </c>
      <c r="P90" s="215" t="s">
        <v>97</v>
      </c>
      <c r="R90" s="12" t="s">
        <v>90</v>
      </c>
      <c r="S90" s="195" t="e">
        <f t="shared" si="8"/>
        <v>#N/A</v>
      </c>
      <c r="T90" s="195">
        <f>'Data entry &gt;'!$H$40*$G$46*E92</f>
        <v>0</v>
      </c>
      <c r="U90" s="16" t="e">
        <f t="shared" si="12"/>
        <v>#N/A</v>
      </c>
      <c r="V90" s="8" t="s">
        <v>97</v>
      </c>
      <c r="X90" s="12" t="s">
        <v>90</v>
      </c>
      <c r="Y90" s="200" t="e">
        <f t="shared" si="9"/>
        <v>#N/A</v>
      </c>
      <c r="Z90" s="200" t="e">
        <f t="shared" si="10"/>
        <v>#N/A</v>
      </c>
      <c r="AA90" s="200" t="e">
        <f t="shared" si="11"/>
        <v>#N/A</v>
      </c>
      <c r="AB90" s="8" t="s">
        <v>106</v>
      </c>
      <c r="AK90" s="53"/>
      <c r="AL90" s="18"/>
      <c r="AM90" s="18"/>
      <c r="AN90" s="18"/>
      <c r="AO90" s="18"/>
      <c r="AP90" s="18"/>
      <c r="AQ90" s="18"/>
      <c r="AR90" s="18"/>
      <c r="AS90" s="18"/>
      <c r="AT90" s="18"/>
      <c r="AU90" s="18"/>
      <c r="AV90" s="18"/>
      <c r="AW90" s="18"/>
      <c r="AX90" s="18"/>
      <c r="AY90" s="18"/>
      <c r="BA90" s="18"/>
      <c r="BB90" s="18"/>
      <c r="BC90" s="18"/>
      <c r="BD90" s="18"/>
      <c r="BE90" s="18"/>
      <c r="BF90" s="18"/>
      <c r="BG90" s="18"/>
      <c r="BH90" s="18"/>
      <c r="BI90" s="18"/>
      <c r="BJ90" s="18"/>
      <c r="BK90" s="18"/>
      <c r="BL90" s="18"/>
      <c r="BM90" s="18"/>
      <c r="BN90" s="18"/>
      <c r="BO90" s="18"/>
      <c r="BP90" s="18"/>
    </row>
    <row r="91" spans="2:68" x14ac:dyDescent="0.3">
      <c r="B91" s="6" t="s">
        <v>81</v>
      </c>
      <c r="C91" s="37" t="s">
        <v>65</v>
      </c>
      <c r="D91" s="91">
        <v>0.5335390058262619</v>
      </c>
      <c r="E91" s="128">
        <v>7.1671989031090958E-3</v>
      </c>
      <c r="F91" s="129">
        <v>3.1004630873542362E-2</v>
      </c>
      <c r="G91" s="129">
        <v>9.780276581422101E-2</v>
      </c>
      <c r="H91" s="130">
        <v>6</v>
      </c>
      <c r="I91" s="37" t="s">
        <v>65</v>
      </c>
      <c r="J91" s="383">
        <f>I145</f>
        <v>0</v>
      </c>
      <c r="K91" s="18"/>
      <c r="L91" s="28"/>
      <c r="N91" s="269" t="s">
        <v>91</v>
      </c>
      <c r="O91" s="192" t="e">
        <f t="shared" si="7"/>
        <v>#N/A</v>
      </c>
      <c r="P91" s="217" t="s">
        <v>98</v>
      </c>
      <c r="R91" s="12" t="s">
        <v>91</v>
      </c>
      <c r="S91" s="195" t="e">
        <f t="shared" si="8"/>
        <v>#N/A</v>
      </c>
      <c r="T91" s="195">
        <f>'Data entry &gt;'!$H$40*$G$46*E93</f>
        <v>0</v>
      </c>
      <c r="U91" s="16" t="e">
        <f t="shared" si="12"/>
        <v>#N/A</v>
      </c>
      <c r="V91" s="8" t="s">
        <v>98</v>
      </c>
      <c r="X91" s="12" t="s">
        <v>91</v>
      </c>
      <c r="Y91" s="200" t="e">
        <f t="shared" si="9"/>
        <v>#N/A</v>
      </c>
      <c r="Z91" s="200" t="e">
        <f t="shared" si="10"/>
        <v>#N/A</v>
      </c>
      <c r="AA91" s="200" t="e">
        <f t="shared" si="11"/>
        <v>#N/A</v>
      </c>
      <c r="AB91" s="8" t="s">
        <v>106</v>
      </c>
      <c r="AK91" s="53"/>
      <c r="AL91" s="18"/>
      <c r="AM91" s="18"/>
      <c r="AN91" s="18"/>
      <c r="AO91" s="18"/>
      <c r="AP91" s="18"/>
      <c r="AQ91" s="18"/>
      <c r="AR91" s="18"/>
      <c r="AS91" s="18"/>
      <c r="AT91" s="18"/>
      <c r="AU91" s="18"/>
      <c r="AV91" s="18"/>
      <c r="AW91" s="18"/>
      <c r="AX91" s="18"/>
      <c r="AY91" s="18"/>
      <c r="BA91" s="18"/>
      <c r="BB91" s="18"/>
      <c r="BC91" s="18"/>
      <c r="BD91" s="18"/>
      <c r="BE91" s="18"/>
      <c r="BF91" s="18"/>
      <c r="BG91" s="18"/>
      <c r="BH91" s="18"/>
      <c r="BI91" s="18"/>
      <c r="BJ91" s="18"/>
      <c r="BK91" s="18"/>
      <c r="BL91" s="18"/>
      <c r="BM91" s="18"/>
      <c r="BN91" s="18"/>
      <c r="BO91" s="18"/>
      <c r="BP91" s="18"/>
    </row>
    <row r="92" spans="2:68" ht="15" thickBot="1" x14ac:dyDescent="0.35">
      <c r="B92" s="6" t="s">
        <v>82</v>
      </c>
      <c r="C92" s="37" t="s">
        <v>66</v>
      </c>
      <c r="D92" s="90">
        <v>0.1320211684827812</v>
      </c>
      <c r="E92" s="128">
        <v>4.7335167969845182E-4</v>
      </c>
      <c r="F92" s="129">
        <v>2.0179121589151655E-3</v>
      </c>
      <c r="G92" s="129">
        <v>2.4187511740502522E-2</v>
      </c>
      <c r="H92" s="130">
        <v>7</v>
      </c>
      <c r="I92" s="37" t="s">
        <v>66</v>
      </c>
      <c r="J92" s="383">
        <f>I147</f>
        <v>0</v>
      </c>
      <c r="K92" s="18"/>
      <c r="L92" s="28"/>
      <c r="N92" s="269" t="s">
        <v>92</v>
      </c>
      <c r="O92" s="192" t="e">
        <f t="shared" si="7"/>
        <v>#N/A</v>
      </c>
      <c r="P92" s="217" t="s">
        <v>99</v>
      </c>
      <c r="R92" s="159" t="s">
        <v>92</v>
      </c>
      <c r="S92" s="195" t="e">
        <f t="shared" si="8"/>
        <v>#N/A</v>
      </c>
      <c r="T92" s="195">
        <f>'Data entry &gt;'!$H$40*$G$46*E94</f>
        <v>0</v>
      </c>
      <c r="U92" s="194" t="e">
        <f t="shared" si="12"/>
        <v>#N/A</v>
      </c>
      <c r="V92" s="10" t="s">
        <v>99</v>
      </c>
      <c r="X92" s="159" t="s">
        <v>92</v>
      </c>
      <c r="Y92" s="200" t="e">
        <f t="shared" si="9"/>
        <v>#N/A</v>
      </c>
      <c r="Z92" s="200" t="e">
        <f t="shared" si="10"/>
        <v>#N/A</v>
      </c>
      <c r="AA92" s="200" t="e">
        <f t="shared" si="11"/>
        <v>#N/A</v>
      </c>
      <c r="AB92" s="10" t="s">
        <v>106</v>
      </c>
      <c r="AK92" s="53"/>
      <c r="AL92" s="18"/>
      <c r="AM92" s="18"/>
      <c r="AN92" s="18"/>
      <c r="AO92" s="18"/>
      <c r="AP92" s="18"/>
      <c r="AQ92" s="18"/>
      <c r="AR92" s="18"/>
      <c r="AS92" s="18"/>
      <c r="AT92" s="18"/>
      <c r="AU92" s="18"/>
      <c r="AV92" s="18"/>
      <c r="AW92" s="18"/>
      <c r="AX92" s="18"/>
      <c r="AY92" s="18"/>
      <c r="BA92" s="18"/>
      <c r="BB92" s="18"/>
      <c r="BC92" s="18"/>
      <c r="BD92" s="18"/>
      <c r="BE92" s="18"/>
      <c r="BF92" s="18"/>
      <c r="BG92" s="18"/>
      <c r="BH92" s="18"/>
      <c r="BI92" s="18"/>
      <c r="BJ92" s="18"/>
      <c r="BK92" s="18"/>
      <c r="BL92" s="18"/>
      <c r="BM92" s="18"/>
      <c r="BN92" s="18"/>
      <c r="BO92" s="18"/>
      <c r="BP92" s="18"/>
    </row>
    <row r="93" spans="2:68" x14ac:dyDescent="0.3">
      <c r="B93" s="6" t="s">
        <v>79</v>
      </c>
      <c r="C93" s="37" t="s">
        <v>67</v>
      </c>
      <c r="D93" s="90">
        <v>5294.2897699225596</v>
      </c>
      <c r="E93" s="128">
        <v>25.742815501396802</v>
      </c>
      <c r="F93" s="129">
        <v>108.70553807040113</v>
      </c>
      <c r="G93" s="129">
        <v>966.96465986193687</v>
      </c>
      <c r="H93" s="130">
        <v>8</v>
      </c>
      <c r="I93" s="37" t="s">
        <v>67</v>
      </c>
      <c r="J93" s="383">
        <f>I149</f>
        <v>0</v>
      </c>
      <c r="K93" s="18"/>
      <c r="L93" s="28"/>
      <c r="AG93" s="33"/>
      <c r="AK93" s="53"/>
      <c r="AL93" s="18"/>
      <c r="AM93" s="18"/>
      <c r="AN93" s="18"/>
      <c r="AO93" s="18"/>
      <c r="AP93" s="18"/>
      <c r="AQ93" s="18"/>
      <c r="AR93" s="18"/>
      <c r="AS93" s="18"/>
      <c r="AT93" s="18"/>
      <c r="AU93" s="18"/>
      <c r="AV93" s="18"/>
      <c r="AW93" s="18"/>
      <c r="AX93" s="18"/>
      <c r="AY93" s="18"/>
      <c r="BA93" s="18"/>
      <c r="BB93" s="18"/>
      <c r="BC93" s="18"/>
      <c r="BD93" s="18"/>
      <c r="BE93" s="18"/>
      <c r="BF93" s="18"/>
      <c r="BG93" s="18"/>
      <c r="BH93" s="18"/>
      <c r="BI93" s="18"/>
      <c r="BJ93" s="18"/>
      <c r="BK93" s="18"/>
      <c r="BL93" s="18"/>
      <c r="BM93" s="18"/>
      <c r="BN93" s="18"/>
      <c r="BO93" s="18"/>
      <c r="BP93" s="18"/>
    </row>
    <row r="94" spans="2:68" ht="15" thickBot="1" x14ac:dyDescent="0.35">
      <c r="B94" s="9" t="s">
        <v>83</v>
      </c>
      <c r="C94" s="41" t="s">
        <v>68</v>
      </c>
      <c r="D94" s="92">
        <v>2.0929511835939819E-2</v>
      </c>
      <c r="E94" s="132">
        <v>2.5904853359082837E-4</v>
      </c>
      <c r="F94" s="133">
        <v>8.8292362125221089E-4</v>
      </c>
      <c r="G94" s="133">
        <v>3.8772941428005113E-3</v>
      </c>
      <c r="H94" s="134">
        <v>9</v>
      </c>
      <c r="I94" s="41" t="s">
        <v>68</v>
      </c>
      <c r="J94" s="384">
        <f>I152</f>
        <v>0</v>
      </c>
      <c r="K94" s="18"/>
      <c r="L94" s="28"/>
      <c r="Q94" s="37"/>
      <c r="W94" s="37"/>
      <c r="AD94" s="37"/>
      <c r="AK94" s="53"/>
      <c r="AL94" s="18"/>
      <c r="AM94" s="18"/>
      <c r="AN94" s="18"/>
      <c r="AO94" s="18"/>
      <c r="AP94" s="18"/>
      <c r="AQ94" s="18"/>
      <c r="AR94" s="18"/>
      <c r="AS94" s="18"/>
      <c r="AT94" s="18"/>
      <c r="AU94" s="18"/>
      <c r="AV94" s="18"/>
      <c r="AW94" s="18"/>
      <c r="AX94" s="18"/>
      <c r="AY94" s="18"/>
      <c r="BA94" s="18"/>
      <c r="BB94" s="18"/>
      <c r="BC94" s="18"/>
      <c r="BD94" s="18"/>
      <c r="BE94" s="18"/>
      <c r="BF94" s="18"/>
      <c r="BG94" s="18"/>
      <c r="BH94" s="18"/>
      <c r="BI94" s="18"/>
      <c r="BJ94" s="18"/>
      <c r="BK94" s="18"/>
      <c r="BL94" s="18"/>
      <c r="BM94" s="18"/>
      <c r="BN94" s="18"/>
      <c r="BO94" s="18"/>
      <c r="BP94" s="18"/>
    </row>
    <row r="95" spans="2:68" ht="15" thickBot="1" x14ac:dyDescent="0.35">
      <c r="B95" s="386" t="s">
        <v>120</v>
      </c>
      <c r="C95" s="18"/>
      <c r="D95" s="18"/>
      <c r="E95" s="18"/>
      <c r="F95" s="18"/>
      <c r="G95" s="18"/>
      <c r="H95" s="18"/>
      <c r="I95" s="18"/>
      <c r="J95" s="24"/>
      <c r="K95" s="18"/>
      <c r="L95" s="28"/>
      <c r="N95" s="288" t="s">
        <v>246</v>
      </c>
      <c r="O95" s="239"/>
      <c r="P95" s="266"/>
      <c r="Q95" s="28"/>
      <c r="R95" s="238" t="s">
        <v>234</v>
      </c>
      <c r="S95" s="239"/>
      <c r="T95" s="239"/>
      <c r="U95" s="239"/>
      <c r="V95" s="266"/>
      <c r="W95" s="37"/>
      <c r="X95" s="193" t="s">
        <v>235</v>
      </c>
      <c r="Y95" s="144"/>
      <c r="Z95" s="144"/>
      <c r="AA95" s="144"/>
      <c r="AB95" s="145"/>
      <c r="AC95" s="45"/>
      <c r="AD95" s="272" t="s">
        <v>236</v>
      </c>
      <c r="AE95" s="273"/>
      <c r="AF95" s="273"/>
      <c r="AG95" s="274"/>
      <c r="AK95" s="53"/>
      <c r="AL95" s="22"/>
      <c r="AM95" s="18"/>
      <c r="AN95" s="18"/>
      <c r="AO95" s="18"/>
      <c r="AP95" s="18"/>
      <c r="AQ95" s="18"/>
      <c r="AR95" s="18"/>
      <c r="AS95" s="18"/>
      <c r="AT95" s="18"/>
      <c r="AU95" s="18"/>
      <c r="AV95" s="18"/>
      <c r="AW95" s="18"/>
      <c r="AX95" s="18"/>
      <c r="AY95" s="18"/>
      <c r="BA95" s="18"/>
      <c r="BB95" s="18"/>
      <c r="BC95" s="18"/>
      <c r="BD95" s="18"/>
      <c r="BE95" s="18"/>
      <c r="BF95" s="18"/>
      <c r="BG95" s="18"/>
      <c r="BH95" s="18"/>
      <c r="BI95" s="18"/>
      <c r="BJ95" s="18"/>
      <c r="BK95" s="18"/>
      <c r="BL95" s="18"/>
      <c r="BM95" s="18"/>
      <c r="BN95" s="18"/>
      <c r="BO95" s="18"/>
      <c r="BP95" s="18"/>
    </row>
    <row r="96" spans="2:68" ht="15" thickBot="1" x14ac:dyDescent="0.35">
      <c r="B96" s="182" t="s">
        <v>69</v>
      </c>
      <c r="C96" s="18"/>
      <c r="D96" s="18"/>
      <c r="E96" s="18"/>
      <c r="F96" s="18"/>
      <c r="G96" s="18"/>
      <c r="H96" s="18"/>
      <c r="I96" s="33"/>
      <c r="J96" s="33"/>
      <c r="L96" s="28"/>
      <c r="N96" s="285" t="s">
        <v>61</v>
      </c>
      <c r="O96" s="196" t="s">
        <v>243</v>
      </c>
      <c r="P96" s="286" t="s">
        <v>108</v>
      </c>
      <c r="Q96" s="271"/>
      <c r="R96" s="285" t="s">
        <v>61</v>
      </c>
      <c r="S96" s="197" t="s">
        <v>123</v>
      </c>
      <c r="T96" s="197" t="s">
        <v>37</v>
      </c>
      <c r="U96" s="197" t="s">
        <v>124</v>
      </c>
      <c r="V96" s="286" t="s">
        <v>108</v>
      </c>
      <c r="W96" s="37"/>
      <c r="X96" s="84"/>
      <c r="Y96" s="196" t="s">
        <v>35</v>
      </c>
      <c r="Z96" s="196" t="s">
        <v>37</v>
      </c>
      <c r="AA96" s="196" t="s">
        <v>124</v>
      </c>
      <c r="AB96" s="82"/>
      <c r="AC96" s="45"/>
      <c r="AD96" s="275" t="s">
        <v>61</v>
      </c>
      <c r="AE96" s="276" t="s">
        <v>124</v>
      </c>
      <c r="AF96" s="273" t="s">
        <v>125</v>
      </c>
      <c r="AG96" s="274"/>
      <c r="AK96" s="53"/>
      <c r="AL96" s="18"/>
      <c r="AM96" s="18"/>
      <c r="AN96" s="18"/>
      <c r="AO96" s="18"/>
      <c r="AP96" s="18"/>
      <c r="AQ96" s="18"/>
      <c r="AR96" s="18"/>
      <c r="AS96" s="18"/>
      <c r="AT96" s="18"/>
      <c r="AU96" s="18"/>
      <c r="AV96" s="18"/>
      <c r="AW96" s="18"/>
      <c r="AX96" s="18"/>
      <c r="AY96" s="18"/>
      <c r="BA96" s="18"/>
      <c r="BB96" s="18"/>
      <c r="BC96" s="18"/>
      <c r="BD96" s="18"/>
      <c r="BE96" s="18"/>
      <c r="BF96" s="18"/>
      <c r="BG96" s="18"/>
      <c r="BH96" s="18"/>
      <c r="BI96" s="18"/>
      <c r="BJ96" s="18"/>
      <c r="BK96" s="18"/>
      <c r="BL96" s="18"/>
      <c r="BM96" s="18"/>
      <c r="BN96" s="18"/>
      <c r="BO96" s="18"/>
      <c r="BP96" s="18"/>
    </row>
    <row r="97" spans="1:68" x14ac:dyDescent="0.3">
      <c r="B97" s="18" t="s">
        <v>71</v>
      </c>
      <c r="C97" s="18"/>
      <c r="D97" s="18"/>
      <c r="E97" s="18"/>
      <c r="F97" s="18"/>
      <c r="G97" s="18"/>
      <c r="H97" s="18"/>
      <c r="I97" s="33"/>
      <c r="J97" s="33"/>
      <c r="K97" s="68"/>
      <c r="L97" s="28"/>
      <c r="N97" s="267" t="s">
        <v>87</v>
      </c>
      <c r="O97" s="192" t="e">
        <f>O72*'Results !'!$H$3</f>
        <v>#N/A</v>
      </c>
      <c r="P97" s="215" t="s">
        <v>93</v>
      </c>
      <c r="Q97" s="183"/>
      <c r="R97" s="267" t="s">
        <v>87</v>
      </c>
      <c r="S97" s="195" t="e">
        <f t="shared" ref="S97:S104" si="13">(VLOOKUP($O$14,kitchen_heat,3,TRUE))*D87</f>
        <v>#N/A</v>
      </c>
      <c r="T97" s="195">
        <f>'Data entry &gt;'!$H$40*$G$46*HLOOKUP('Results !'!$H$5, pipe_footprint, 2, FALSE)</f>
        <v>0</v>
      </c>
      <c r="U97" s="195" t="e">
        <f>SUM(S97:T97)</f>
        <v>#N/A</v>
      </c>
      <c r="V97" s="215" t="s">
        <v>93</v>
      </c>
      <c r="W97" s="37"/>
      <c r="X97" s="12" t="s">
        <v>87</v>
      </c>
      <c r="Y97" s="200" t="e">
        <f t="shared" ref="Y97:Y104" si="14">S97/O72</f>
        <v>#N/A</v>
      </c>
      <c r="Z97" s="200" t="e">
        <f t="shared" ref="Z97:Z104" si="15">T97/O72</f>
        <v>#N/A</v>
      </c>
      <c r="AA97" s="192" t="e">
        <f t="shared" ref="AA97:AA104" si="16">U97/O72</f>
        <v>#N/A</v>
      </c>
      <c r="AB97" s="8" t="s">
        <v>106</v>
      </c>
      <c r="AD97" s="277" t="s">
        <v>87</v>
      </c>
      <c r="AE97" s="278" t="e">
        <f t="shared" ref="AE97:AE104" si="17">O97*J87</f>
        <v>#N/A</v>
      </c>
      <c r="AF97" s="278" t="e">
        <f t="shared" ref="AF97:AF104" si="18">AE97*(-1)</f>
        <v>#N/A</v>
      </c>
      <c r="AG97" s="279" t="s">
        <v>115</v>
      </c>
      <c r="AK97" s="53"/>
      <c r="AL97" s="18"/>
      <c r="AM97" s="18"/>
      <c r="AN97" s="18"/>
      <c r="AO97" s="18"/>
      <c r="AP97" s="18"/>
      <c r="AQ97" s="18"/>
      <c r="AR97" s="18"/>
      <c r="AS97" s="18"/>
      <c r="AT97" s="18"/>
      <c r="AU97" s="18"/>
      <c r="AV97" s="18"/>
      <c r="AW97" s="18"/>
      <c r="AX97" s="18"/>
      <c r="AY97" s="18"/>
      <c r="BA97" s="18"/>
      <c r="BB97" s="18"/>
      <c r="BC97" s="18"/>
      <c r="BD97" s="18"/>
      <c r="BE97" s="18"/>
      <c r="BF97" s="18"/>
      <c r="BG97" s="18"/>
      <c r="BH97" s="18"/>
      <c r="BI97" s="18"/>
      <c r="BJ97" s="18"/>
      <c r="BK97" s="18"/>
      <c r="BL97" s="18"/>
      <c r="BM97" s="18"/>
      <c r="BN97" s="18"/>
      <c r="BO97" s="18"/>
      <c r="BP97" s="18"/>
    </row>
    <row r="98" spans="1:68" x14ac:dyDescent="0.3">
      <c r="B98" s="18" t="s">
        <v>75</v>
      </c>
      <c r="C98" s="18"/>
      <c r="D98" s="18"/>
      <c r="E98" s="18"/>
      <c r="F98" s="18"/>
      <c r="G98" s="18"/>
      <c r="H98" s="18"/>
      <c r="I98" s="33"/>
      <c r="J98" s="33"/>
      <c r="L98" s="18"/>
      <c r="N98" s="267" t="s">
        <v>112</v>
      </c>
      <c r="O98" s="192" t="e">
        <f>O73*'Results !'!$H$3</f>
        <v>#N/A</v>
      </c>
      <c r="P98" s="215" t="s">
        <v>94</v>
      </c>
      <c r="Q98" s="183"/>
      <c r="R98" s="267" t="s">
        <v>112</v>
      </c>
      <c r="S98" s="16" t="e">
        <f t="shared" si="13"/>
        <v>#N/A</v>
      </c>
      <c r="T98" s="16">
        <f>'Data entry &gt;'!$H$40*$G$46*HLOOKUP('Results !'!$H$5, pipe_footprint, 3, FALSE)</f>
        <v>0</v>
      </c>
      <c r="U98" s="16" t="e">
        <f t="shared" ref="U98:U104" si="19">SUM(S98:T98)</f>
        <v>#N/A</v>
      </c>
      <c r="V98" s="215" t="s">
        <v>94</v>
      </c>
      <c r="W98" s="37"/>
      <c r="X98" s="12" t="s">
        <v>112</v>
      </c>
      <c r="Y98" s="17" t="e">
        <f t="shared" si="14"/>
        <v>#N/A</v>
      </c>
      <c r="Z98" s="17" t="e">
        <f t="shared" si="15"/>
        <v>#N/A</v>
      </c>
      <c r="AA98" s="13" t="e">
        <f t="shared" si="16"/>
        <v>#N/A</v>
      </c>
      <c r="AB98" s="8" t="s">
        <v>106</v>
      </c>
      <c r="AD98" s="277" t="s">
        <v>112</v>
      </c>
      <c r="AE98" s="278" t="e">
        <f t="shared" si="17"/>
        <v>#N/A</v>
      </c>
      <c r="AF98" s="280" t="e">
        <f t="shared" si="18"/>
        <v>#N/A</v>
      </c>
      <c r="AG98" s="279" t="s">
        <v>115</v>
      </c>
      <c r="AK98" s="53"/>
      <c r="AL98" s="18"/>
      <c r="AM98" s="18"/>
      <c r="AN98" s="18"/>
      <c r="AO98" s="18"/>
      <c r="AP98" s="18"/>
      <c r="AQ98" s="18"/>
      <c r="AR98" s="18"/>
      <c r="AS98" s="18"/>
      <c r="AT98" s="18"/>
      <c r="AU98" s="18"/>
      <c r="AV98" s="18"/>
      <c r="AW98" s="18"/>
      <c r="AX98" s="18"/>
      <c r="AY98" s="18"/>
      <c r="BA98" s="18"/>
      <c r="BB98" s="18"/>
      <c r="BC98" s="18"/>
      <c r="BD98" s="18"/>
      <c r="BE98" s="18"/>
      <c r="BF98" s="18"/>
      <c r="BG98" s="18"/>
      <c r="BH98" s="18"/>
      <c r="BI98" s="18"/>
      <c r="BJ98" s="18"/>
      <c r="BK98" s="18"/>
      <c r="BL98" s="18"/>
      <c r="BM98" s="18"/>
      <c r="BN98" s="18"/>
      <c r="BO98" s="18"/>
      <c r="BP98" s="18"/>
    </row>
    <row r="99" spans="1:68" ht="15" thickBot="1" x14ac:dyDescent="0.35">
      <c r="B99" s="18"/>
      <c r="C99" s="18"/>
      <c r="D99" s="18"/>
      <c r="E99" s="18"/>
      <c r="F99" s="18"/>
      <c r="G99" s="18"/>
      <c r="H99" s="18"/>
      <c r="I99" s="33"/>
      <c r="J99" s="33"/>
      <c r="L99" s="28"/>
      <c r="N99" s="287" t="s">
        <v>113</v>
      </c>
      <c r="O99" s="192" t="e">
        <f>O74*'Results !'!$H$3</f>
        <v>#N/A</v>
      </c>
      <c r="P99" s="215" t="s">
        <v>94</v>
      </c>
      <c r="Q99" s="183"/>
      <c r="R99" s="287" t="s">
        <v>113</v>
      </c>
      <c r="S99" s="16" t="e">
        <f t="shared" si="13"/>
        <v>#N/A</v>
      </c>
      <c r="T99" s="16">
        <f>'Data entry &gt;'!$H$40*$G$46*HLOOKUP('Results !'!$H$5, pipe_footprint, 4, FALSE)</f>
        <v>0</v>
      </c>
      <c r="U99" s="16" t="e">
        <f t="shared" si="19"/>
        <v>#N/A</v>
      </c>
      <c r="V99" s="215" t="s">
        <v>94</v>
      </c>
      <c r="W99" s="37"/>
      <c r="X99" s="202" t="s">
        <v>113</v>
      </c>
      <c r="Y99" s="17" t="e">
        <f t="shared" si="14"/>
        <v>#N/A</v>
      </c>
      <c r="Z99" s="17" t="e">
        <f t="shared" si="15"/>
        <v>#N/A</v>
      </c>
      <c r="AA99" s="13" t="e">
        <f t="shared" si="16"/>
        <v>#N/A</v>
      </c>
      <c r="AB99" s="8" t="s">
        <v>106</v>
      </c>
      <c r="AD99" s="281" t="s">
        <v>113</v>
      </c>
      <c r="AE99" s="278" t="e">
        <f t="shared" si="17"/>
        <v>#N/A</v>
      </c>
      <c r="AF99" s="280" t="e">
        <f t="shared" si="18"/>
        <v>#N/A</v>
      </c>
      <c r="AG99" s="279" t="s">
        <v>115</v>
      </c>
      <c r="AK99" s="53"/>
      <c r="AL99" s="18"/>
      <c r="AM99" s="18"/>
      <c r="AN99" s="18"/>
      <c r="AO99" s="18"/>
      <c r="AP99" s="18"/>
      <c r="AQ99" s="18"/>
      <c r="AR99" s="18"/>
      <c r="AS99" s="18"/>
      <c r="AT99" s="18"/>
      <c r="AU99" s="18"/>
      <c r="AV99" s="18"/>
      <c r="AW99" s="18"/>
      <c r="AX99" s="18"/>
      <c r="AY99" s="18"/>
      <c r="BA99" s="18"/>
      <c r="BB99" s="18"/>
      <c r="BC99" s="18"/>
      <c r="BD99" s="18"/>
      <c r="BE99" s="18"/>
      <c r="BF99" s="18"/>
      <c r="BG99" s="18"/>
      <c r="BH99" s="18"/>
      <c r="BI99" s="18"/>
      <c r="BJ99" s="18"/>
      <c r="BK99" s="18"/>
      <c r="BL99" s="18"/>
      <c r="BM99" s="18"/>
      <c r="BN99" s="18"/>
      <c r="BO99" s="18"/>
      <c r="BP99" s="18"/>
    </row>
    <row r="100" spans="1:68" ht="15" thickBot="1" x14ac:dyDescent="0.35">
      <c r="B100" s="143" t="s">
        <v>109</v>
      </c>
      <c r="C100" s="146" t="s">
        <v>61</v>
      </c>
      <c r="D100" s="147" t="s">
        <v>72</v>
      </c>
      <c r="E100" s="146" t="s">
        <v>70</v>
      </c>
      <c r="F100" s="148" t="s">
        <v>73</v>
      </c>
      <c r="G100" s="149" t="s">
        <v>74</v>
      </c>
      <c r="H100" s="18"/>
      <c r="I100" s="33"/>
      <c r="J100" s="33"/>
      <c r="K100" s="37"/>
      <c r="L100" s="28"/>
      <c r="N100" s="267" t="s">
        <v>88</v>
      </c>
      <c r="O100" s="192" t="e">
        <f>O75*'Results !'!$H$3</f>
        <v>#N/A</v>
      </c>
      <c r="P100" s="215" t="s">
        <v>95</v>
      </c>
      <c r="Q100" s="183"/>
      <c r="R100" s="267" t="s">
        <v>88</v>
      </c>
      <c r="S100" s="16" t="e">
        <f t="shared" si="13"/>
        <v>#N/A</v>
      </c>
      <c r="T100" s="16">
        <f>'Data entry &gt;'!$H$40*$G$46*HLOOKUP('Results !'!$H$5, pipe_footprint, 5, FALSE)</f>
        <v>0</v>
      </c>
      <c r="U100" s="16" t="e">
        <f t="shared" si="19"/>
        <v>#N/A</v>
      </c>
      <c r="V100" s="215" t="s">
        <v>95</v>
      </c>
      <c r="W100" s="37"/>
      <c r="X100" s="12" t="s">
        <v>88</v>
      </c>
      <c r="Y100" s="17" t="e">
        <f t="shared" si="14"/>
        <v>#N/A</v>
      </c>
      <c r="Z100" s="17" t="e">
        <f t="shared" si="15"/>
        <v>#N/A</v>
      </c>
      <c r="AA100" s="13" t="e">
        <f t="shared" si="16"/>
        <v>#N/A</v>
      </c>
      <c r="AB100" s="8" t="s">
        <v>106</v>
      </c>
      <c r="AD100" s="277" t="s">
        <v>88</v>
      </c>
      <c r="AE100" s="278" t="e">
        <f t="shared" si="17"/>
        <v>#N/A</v>
      </c>
      <c r="AF100" s="280" t="e">
        <f t="shared" si="18"/>
        <v>#N/A</v>
      </c>
      <c r="AG100" s="279" t="s">
        <v>115</v>
      </c>
      <c r="AK100" s="53"/>
      <c r="AL100" s="18"/>
      <c r="AM100" s="18"/>
      <c r="AN100" s="18"/>
      <c r="AO100" s="18"/>
      <c r="AP100" s="18"/>
      <c r="AQ100" s="18"/>
      <c r="AR100" s="18"/>
      <c r="AS100" s="18"/>
      <c r="AT100" s="18"/>
      <c r="AU100" s="18"/>
      <c r="AV100" s="18"/>
      <c r="AW100" s="18"/>
      <c r="AX100" s="18"/>
      <c r="AY100" s="18"/>
      <c r="BA100" s="18"/>
      <c r="BB100" s="18"/>
      <c r="BC100" s="18"/>
      <c r="BD100" s="18"/>
      <c r="BE100" s="18"/>
      <c r="BF100" s="18"/>
      <c r="BG100" s="18"/>
      <c r="BH100" s="18"/>
      <c r="BI100" s="18"/>
      <c r="BJ100" s="18"/>
      <c r="BK100" s="18"/>
      <c r="BL100" s="18"/>
      <c r="BM100" s="18"/>
      <c r="BN100" s="18"/>
      <c r="BO100" s="18"/>
      <c r="BP100" s="18"/>
    </row>
    <row r="101" spans="1:68" x14ac:dyDescent="0.3">
      <c r="B101" s="6" t="s">
        <v>109</v>
      </c>
      <c r="C101" s="37" t="s">
        <v>62</v>
      </c>
      <c r="D101" s="95">
        <v>4.1488277622544123E-3</v>
      </c>
      <c r="E101" s="93">
        <v>1.8545810951825422E-4</v>
      </c>
      <c r="F101" s="93">
        <v>6.5937505538163626E-4</v>
      </c>
      <c r="G101" s="71">
        <v>7.7635520119162819E-4</v>
      </c>
      <c r="H101" s="18"/>
      <c r="I101" s="33"/>
      <c r="J101" s="33"/>
      <c r="K101" s="37"/>
      <c r="L101" s="28"/>
      <c r="N101" s="267" t="s">
        <v>89</v>
      </c>
      <c r="O101" s="192" t="e">
        <f>O76*'Results !'!$H$3</f>
        <v>#N/A</v>
      </c>
      <c r="P101" s="215" t="s">
        <v>96</v>
      </c>
      <c r="Q101" s="183"/>
      <c r="R101" s="267" t="s">
        <v>89</v>
      </c>
      <c r="S101" s="16" t="e">
        <f t="shared" si="13"/>
        <v>#N/A</v>
      </c>
      <c r="T101" s="16">
        <f>'Data entry &gt;'!$H$40*$G$46*HLOOKUP('Results !'!$H$5, pipe_footprint, 6, FALSE)</f>
        <v>0</v>
      </c>
      <c r="U101" s="16" t="e">
        <f t="shared" si="19"/>
        <v>#N/A</v>
      </c>
      <c r="V101" s="215" t="s">
        <v>96</v>
      </c>
      <c r="W101" s="37"/>
      <c r="X101" s="12" t="s">
        <v>89</v>
      </c>
      <c r="Y101" s="17" t="e">
        <f t="shared" si="14"/>
        <v>#N/A</v>
      </c>
      <c r="Z101" s="17" t="e">
        <f t="shared" si="15"/>
        <v>#N/A</v>
      </c>
      <c r="AA101" s="13" t="e">
        <f t="shared" si="16"/>
        <v>#N/A</v>
      </c>
      <c r="AB101" s="8" t="s">
        <v>106</v>
      </c>
      <c r="AD101" s="277" t="s">
        <v>89</v>
      </c>
      <c r="AE101" s="278" t="e">
        <f t="shared" si="17"/>
        <v>#N/A</v>
      </c>
      <c r="AF101" s="280" t="e">
        <f t="shared" si="18"/>
        <v>#N/A</v>
      </c>
      <c r="AG101" s="279" t="s">
        <v>115</v>
      </c>
      <c r="AK101" s="53"/>
      <c r="AL101" s="18"/>
      <c r="AM101" s="18"/>
      <c r="AN101" s="18"/>
      <c r="AO101" s="18"/>
      <c r="AP101" s="18"/>
      <c r="AQ101" s="18"/>
      <c r="AR101" s="18"/>
      <c r="AS101" s="18"/>
      <c r="AT101" s="18"/>
      <c r="AU101" s="18"/>
      <c r="AV101" s="18"/>
      <c r="AW101" s="18"/>
      <c r="AX101" s="18"/>
      <c r="AY101" s="18"/>
      <c r="BA101" s="18"/>
      <c r="BB101" s="18"/>
      <c r="BC101" s="18"/>
      <c r="BD101" s="18"/>
      <c r="BE101" s="18"/>
      <c r="BF101" s="18"/>
      <c r="BG101" s="18"/>
      <c r="BH101" s="18"/>
      <c r="BI101" s="18"/>
      <c r="BJ101" s="18"/>
      <c r="BK101" s="18"/>
      <c r="BL101" s="18"/>
      <c r="BM101" s="18"/>
      <c r="BN101" s="18"/>
      <c r="BO101" s="18"/>
      <c r="BP101" s="18"/>
    </row>
    <row r="102" spans="1:68" x14ac:dyDescent="0.3">
      <c r="B102" s="6" t="s">
        <v>109</v>
      </c>
      <c r="C102" s="37" t="s">
        <v>63</v>
      </c>
      <c r="D102" s="96">
        <v>2.2778419606971863</v>
      </c>
      <c r="E102" s="93">
        <v>7.7736303047417285E-3</v>
      </c>
      <c r="F102" s="93">
        <v>0.27348753820868932</v>
      </c>
      <c r="G102" s="71">
        <v>0.41276320662788502</v>
      </c>
      <c r="H102" s="18"/>
      <c r="I102" s="33"/>
      <c r="J102" s="33"/>
      <c r="K102" s="68"/>
      <c r="L102" s="28"/>
      <c r="N102" s="267" t="s">
        <v>90</v>
      </c>
      <c r="O102" s="192" t="e">
        <f>O77*'Results !'!$H$3</f>
        <v>#N/A</v>
      </c>
      <c r="P102" s="215" t="s">
        <v>97</v>
      </c>
      <c r="Q102" s="183"/>
      <c r="R102" s="267" t="s">
        <v>90</v>
      </c>
      <c r="S102" s="16" t="e">
        <f t="shared" si="13"/>
        <v>#N/A</v>
      </c>
      <c r="T102" s="16">
        <f>'Data entry &gt;'!$H$40*$G$46*HLOOKUP('Results !'!$H$5, pipe_footprint, 7, FALSE)</f>
        <v>0</v>
      </c>
      <c r="U102" s="16" t="e">
        <f t="shared" si="19"/>
        <v>#N/A</v>
      </c>
      <c r="V102" s="215" t="s">
        <v>97</v>
      </c>
      <c r="W102" s="37"/>
      <c r="X102" s="12" t="s">
        <v>90</v>
      </c>
      <c r="Y102" s="17" t="e">
        <f t="shared" si="14"/>
        <v>#N/A</v>
      </c>
      <c r="Z102" s="17" t="e">
        <f t="shared" si="15"/>
        <v>#N/A</v>
      </c>
      <c r="AA102" s="13" t="e">
        <f t="shared" si="16"/>
        <v>#N/A</v>
      </c>
      <c r="AB102" s="8" t="s">
        <v>106</v>
      </c>
      <c r="AD102" s="277" t="s">
        <v>90</v>
      </c>
      <c r="AE102" s="278" t="e">
        <f t="shared" si="17"/>
        <v>#N/A</v>
      </c>
      <c r="AF102" s="280" t="e">
        <f t="shared" si="18"/>
        <v>#N/A</v>
      </c>
      <c r="AG102" s="279" t="s">
        <v>115</v>
      </c>
      <c r="AK102" s="53"/>
      <c r="AL102" s="18"/>
      <c r="AM102" s="18"/>
      <c r="AN102" s="18"/>
      <c r="AO102" s="18"/>
      <c r="AP102" s="18"/>
      <c r="AQ102" s="18"/>
      <c r="AR102" s="18"/>
      <c r="AS102" s="18"/>
      <c r="AT102" s="18"/>
      <c r="AU102" s="18"/>
      <c r="AV102" s="18"/>
      <c r="AW102" s="18"/>
      <c r="AX102" s="18"/>
      <c r="AY102" s="18"/>
      <c r="BA102" s="18"/>
      <c r="BB102" s="18"/>
      <c r="BC102" s="18"/>
      <c r="BD102" s="18"/>
      <c r="BE102" s="18"/>
      <c r="BF102" s="18"/>
      <c r="BG102" s="18"/>
      <c r="BH102" s="18"/>
      <c r="BI102" s="18"/>
      <c r="BJ102" s="18"/>
      <c r="BK102" s="18"/>
      <c r="BL102" s="18"/>
      <c r="BM102" s="18"/>
      <c r="BN102" s="18"/>
      <c r="BO102" s="18"/>
      <c r="BP102" s="18"/>
    </row>
    <row r="103" spans="1:68" x14ac:dyDescent="0.3">
      <c r="B103" s="6" t="s">
        <v>109</v>
      </c>
      <c r="C103" s="37" t="s">
        <v>64</v>
      </c>
      <c r="D103" s="96">
        <v>3.874400796030587E-3</v>
      </c>
      <c r="E103" s="93">
        <v>9.5975943354814256E-5</v>
      </c>
      <c r="F103" s="93">
        <v>3.9340964921552536E-4</v>
      </c>
      <c r="G103" s="71">
        <v>7.2394443577078677E-4</v>
      </c>
      <c r="H103" s="18"/>
      <c r="I103" s="33"/>
      <c r="J103" s="33"/>
      <c r="L103" s="28"/>
      <c r="N103" s="267" t="s">
        <v>91</v>
      </c>
      <c r="O103" s="192" t="e">
        <f>O78*'Results !'!$H$3</f>
        <v>#N/A</v>
      </c>
      <c r="P103" s="215" t="s">
        <v>98</v>
      </c>
      <c r="Q103" s="183"/>
      <c r="R103" s="267" t="s">
        <v>91</v>
      </c>
      <c r="S103" s="16" t="e">
        <f t="shared" si="13"/>
        <v>#N/A</v>
      </c>
      <c r="T103" s="16">
        <f>'Data entry &gt;'!$H$40*$G$46*HLOOKUP('Results !'!$H$5, pipe_footprint, 8, FALSE)</f>
        <v>0</v>
      </c>
      <c r="U103" s="16" t="e">
        <f t="shared" si="19"/>
        <v>#N/A</v>
      </c>
      <c r="V103" s="215" t="s">
        <v>98</v>
      </c>
      <c r="W103" s="37"/>
      <c r="X103" s="12" t="s">
        <v>91</v>
      </c>
      <c r="Y103" s="17" t="e">
        <f t="shared" si="14"/>
        <v>#N/A</v>
      </c>
      <c r="Z103" s="17" t="e">
        <f t="shared" si="15"/>
        <v>#N/A</v>
      </c>
      <c r="AA103" s="13" t="e">
        <f t="shared" si="16"/>
        <v>#N/A</v>
      </c>
      <c r="AB103" s="8" t="s">
        <v>106</v>
      </c>
      <c r="AD103" s="277" t="s">
        <v>91</v>
      </c>
      <c r="AE103" s="278" t="e">
        <f t="shared" si="17"/>
        <v>#N/A</v>
      </c>
      <c r="AF103" s="280" t="e">
        <f t="shared" si="18"/>
        <v>#N/A</v>
      </c>
      <c r="AG103" s="279" t="s">
        <v>115</v>
      </c>
      <c r="AK103" s="53"/>
      <c r="AL103" s="18"/>
      <c r="AM103" s="18"/>
      <c r="AN103" s="18"/>
      <c r="AO103" s="18"/>
      <c r="AP103" s="18"/>
      <c r="AQ103" s="18"/>
      <c r="AR103" s="18"/>
      <c r="AS103" s="18"/>
      <c r="AT103" s="18"/>
      <c r="AU103" s="18"/>
      <c r="AV103" s="18"/>
      <c r="AW103" s="18"/>
      <c r="AX103" s="18"/>
      <c r="AY103" s="18"/>
      <c r="BA103" s="18"/>
      <c r="BB103" s="18"/>
      <c r="BC103" s="18"/>
      <c r="BD103" s="18"/>
      <c r="BE103" s="18"/>
      <c r="BF103" s="18"/>
      <c r="BG103" s="18"/>
      <c r="BH103" s="18"/>
      <c r="BI103" s="18"/>
      <c r="BJ103" s="18"/>
      <c r="BK103" s="18"/>
      <c r="BL103" s="18"/>
      <c r="BM103" s="18"/>
      <c r="BN103" s="18"/>
      <c r="BO103" s="18"/>
      <c r="BP103" s="18"/>
    </row>
    <row r="104" spans="1:68" ht="15" thickBot="1" x14ac:dyDescent="0.35">
      <c r="B104" s="6" t="s">
        <v>109</v>
      </c>
      <c r="C104" s="37" t="s">
        <v>65</v>
      </c>
      <c r="D104" s="96">
        <v>9.5104930898698096E-3</v>
      </c>
      <c r="E104" s="93">
        <v>1.2775747395671737E-4</v>
      </c>
      <c r="F104" s="93">
        <v>5.526668611981634E-4</v>
      </c>
      <c r="G104" s="71">
        <v>1.7433636871700302E-3</v>
      </c>
      <c r="H104" s="18"/>
      <c r="I104" s="33"/>
      <c r="J104" s="33"/>
      <c r="L104" s="28"/>
      <c r="N104" s="269" t="s">
        <v>92</v>
      </c>
      <c r="O104" s="192" t="e">
        <f>O79*'Results !'!$H$3</f>
        <v>#N/A</v>
      </c>
      <c r="P104" s="217" t="s">
        <v>99</v>
      </c>
      <c r="Q104" s="183"/>
      <c r="R104" s="269" t="s">
        <v>92</v>
      </c>
      <c r="S104" s="16" t="e">
        <f t="shared" si="13"/>
        <v>#N/A</v>
      </c>
      <c r="T104" s="16">
        <f>'Data entry &gt;'!$H$40*$G$46*HLOOKUP('Results !'!$H$5, pipe_footprint, 9, FALSE)</f>
        <v>0</v>
      </c>
      <c r="U104" s="16" t="e">
        <f t="shared" si="19"/>
        <v>#N/A</v>
      </c>
      <c r="V104" s="217" t="s">
        <v>99</v>
      </c>
      <c r="X104" s="159" t="s">
        <v>92</v>
      </c>
      <c r="Y104" s="201" t="e">
        <f t="shared" si="14"/>
        <v>#N/A</v>
      </c>
      <c r="Z104" s="201" t="e">
        <f t="shared" si="15"/>
        <v>#N/A</v>
      </c>
      <c r="AA104" s="199" t="e">
        <f t="shared" si="16"/>
        <v>#N/A</v>
      </c>
      <c r="AB104" s="10" t="s">
        <v>106</v>
      </c>
      <c r="AD104" s="282" t="s">
        <v>92</v>
      </c>
      <c r="AE104" s="278" t="e">
        <f t="shared" si="17"/>
        <v>#N/A</v>
      </c>
      <c r="AF104" s="283" t="e">
        <f t="shared" si="18"/>
        <v>#N/A</v>
      </c>
      <c r="AG104" s="284" t="s">
        <v>115</v>
      </c>
      <c r="AK104" s="53"/>
      <c r="AL104" s="18"/>
      <c r="AM104" s="18"/>
      <c r="AN104" s="18"/>
      <c r="AO104" s="18"/>
      <c r="AP104" s="18"/>
      <c r="AQ104" s="18"/>
      <c r="AR104" s="18"/>
      <c r="AS104" s="18"/>
      <c r="AT104" s="18"/>
      <c r="AU104" s="18"/>
      <c r="AV104" s="18"/>
      <c r="AW104" s="18"/>
      <c r="AX104" s="18"/>
      <c r="AY104" s="18"/>
      <c r="BA104" s="18"/>
      <c r="BB104" s="18"/>
      <c r="BC104" s="18"/>
      <c r="BD104" s="18"/>
      <c r="BE104" s="18"/>
      <c r="BF104" s="18"/>
      <c r="BG104" s="18"/>
      <c r="BH104" s="18"/>
      <c r="BI104" s="18"/>
      <c r="BJ104" s="18"/>
      <c r="BK104" s="18"/>
      <c r="BL104" s="18"/>
      <c r="BM104" s="18"/>
      <c r="BN104" s="18"/>
      <c r="BO104" s="18"/>
      <c r="BP104" s="18"/>
    </row>
    <row r="105" spans="1:68" x14ac:dyDescent="0.3">
      <c r="B105" s="6" t="s">
        <v>109</v>
      </c>
      <c r="C105" s="37" t="s">
        <v>66</v>
      </c>
      <c r="D105" s="96">
        <v>2.018669611328552E-2</v>
      </c>
      <c r="E105" s="93">
        <v>7.2377836240952286E-5</v>
      </c>
      <c r="F105" s="93">
        <v>3.0854884866919808E-4</v>
      </c>
      <c r="G105" s="71">
        <v>3.6983913629406485E-3</v>
      </c>
      <c r="H105" s="18"/>
      <c r="I105" s="33"/>
      <c r="J105" s="33"/>
      <c r="K105" s="37"/>
      <c r="L105" s="28"/>
      <c r="AG105" s="45"/>
      <c r="AK105" s="53"/>
      <c r="AL105" s="18"/>
      <c r="AM105" s="18"/>
      <c r="AN105" s="18"/>
      <c r="AO105" s="18"/>
      <c r="AP105" s="18"/>
      <c r="AQ105" s="18"/>
      <c r="AR105" s="18"/>
      <c r="AS105" s="18"/>
      <c r="AT105" s="18"/>
      <c r="AU105" s="18"/>
      <c r="AV105" s="18"/>
      <c r="AW105" s="18"/>
      <c r="AX105" s="18"/>
      <c r="AY105" s="18"/>
      <c r="BA105" s="18"/>
      <c r="BB105" s="18"/>
      <c r="BC105" s="18"/>
      <c r="BD105" s="18"/>
      <c r="BE105" s="18"/>
      <c r="BF105" s="18"/>
      <c r="BG105" s="18"/>
      <c r="BH105" s="18"/>
      <c r="BI105" s="18"/>
      <c r="BJ105" s="18"/>
      <c r="BK105" s="18"/>
      <c r="BL105" s="18"/>
      <c r="BM105" s="18"/>
      <c r="BN105" s="18"/>
      <c r="BO105" s="18"/>
      <c r="BP105" s="18"/>
    </row>
    <row r="106" spans="1:68" ht="15" thickBot="1" x14ac:dyDescent="0.35">
      <c r="B106" s="6" t="s">
        <v>109</v>
      </c>
      <c r="C106" s="37" t="s">
        <v>67</v>
      </c>
      <c r="D106" s="96">
        <v>1.4155872060382086</v>
      </c>
      <c r="E106" s="93">
        <v>6.8831140445326277E-3</v>
      </c>
      <c r="F106" s="93">
        <v>2.9065686920308125E-2</v>
      </c>
      <c r="G106" s="71">
        <v>0.25854701209746361</v>
      </c>
      <c r="H106" s="18"/>
      <c r="I106" s="33"/>
      <c r="J106" s="33"/>
      <c r="L106" s="28"/>
      <c r="AG106" s="45"/>
      <c r="AK106" s="53"/>
      <c r="AL106" s="18"/>
      <c r="AM106" s="18"/>
      <c r="AN106" s="18"/>
      <c r="AO106" s="18"/>
      <c r="AP106" s="18"/>
      <c r="AQ106" s="18"/>
      <c r="AR106" s="18"/>
      <c r="AS106" s="18"/>
      <c r="AT106" s="18"/>
      <c r="AU106" s="18"/>
      <c r="AV106" s="18"/>
      <c r="AW106" s="18"/>
      <c r="AX106" s="18"/>
      <c r="AY106" s="18"/>
      <c r="BA106" s="18"/>
      <c r="BB106" s="18"/>
      <c r="BC106" s="18"/>
      <c r="BD106" s="18"/>
      <c r="BE106" s="18"/>
      <c r="BF106" s="18"/>
      <c r="BG106" s="18"/>
      <c r="BH106" s="18"/>
      <c r="BI106" s="18"/>
      <c r="BJ106" s="18"/>
      <c r="BK106" s="18"/>
      <c r="BL106" s="18"/>
      <c r="BM106" s="18"/>
      <c r="BN106" s="18"/>
      <c r="BO106" s="18"/>
      <c r="BP106" s="18"/>
    </row>
    <row r="107" spans="1:68" ht="15" thickBot="1" x14ac:dyDescent="0.35">
      <c r="B107" s="9" t="s">
        <v>109</v>
      </c>
      <c r="C107" s="41" t="s">
        <v>68</v>
      </c>
      <c r="D107" s="97">
        <v>0.10844312658318421</v>
      </c>
      <c r="E107" s="94">
        <v>1.3422211248682477E-3</v>
      </c>
      <c r="F107" s="94">
        <v>4.5747363232008934E-3</v>
      </c>
      <c r="G107" s="72">
        <v>2.0089618086836472E-2</v>
      </c>
      <c r="H107" s="18"/>
      <c r="I107" s="33"/>
      <c r="J107" s="33"/>
      <c r="K107" s="37"/>
      <c r="L107" s="28"/>
      <c r="X107" s="193" t="s">
        <v>328</v>
      </c>
      <c r="Y107" s="144"/>
      <c r="Z107" s="144"/>
      <c r="AA107" s="144"/>
      <c r="AB107" s="145"/>
      <c r="AC107" s="45"/>
      <c r="AD107" s="45"/>
      <c r="AE107" s="45"/>
      <c r="AF107" s="45"/>
      <c r="AG107" s="45"/>
      <c r="AK107" s="53"/>
      <c r="AL107" s="18"/>
      <c r="AM107" s="18"/>
      <c r="AN107" s="18"/>
      <c r="AO107" s="18"/>
      <c r="AP107" s="18"/>
      <c r="AQ107" s="18"/>
      <c r="AR107" s="18"/>
      <c r="AS107" s="18"/>
      <c r="AT107" s="18"/>
      <c r="AU107" s="18"/>
      <c r="AV107" s="18"/>
      <c r="AW107" s="18"/>
      <c r="AX107" s="18"/>
      <c r="AY107" s="18"/>
      <c r="BA107" s="18"/>
      <c r="BB107" s="18"/>
      <c r="BC107" s="18"/>
      <c r="BD107" s="18"/>
      <c r="BE107" s="18"/>
      <c r="BF107" s="18"/>
      <c r="BG107" s="18"/>
      <c r="BH107" s="18"/>
      <c r="BI107" s="18"/>
      <c r="BJ107" s="18"/>
      <c r="BK107" s="18"/>
      <c r="BL107" s="18"/>
      <c r="BM107" s="18"/>
      <c r="BN107" s="18"/>
      <c r="BO107" s="18"/>
      <c r="BP107" s="18"/>
    </row>
    <row r="108" spans="1:68" ht="15" thickBot="1" x14ac:dyDescent="0.35">
      <c r="B108" s="24"/>
      <c r="C108" s="24"/>
      <c r="D108" s="24"/>
      <c r="E108" s="24"/>
      <c r="F108" s="24"/>
      <c r="G108" s="24"/>
      <c r="H108" s="24"/>
      <c r="I108" s="33"/>
      <c r="J108" s="33"/>
      <c r="L108" s="174"/>
      <c r="M108" s="174"/>
      <c r="X108" s="84"/>
      <c r="Y108" s="196" t="s">
        <v>35</v>
      </c>
      <c r="Z108" s="196" t="s">
        <v>37</v>
      </c>
      <c r="AA108" s="196" t="s">
        <v>124</v>
      </c>
      <c r="AB108" s="82"/>
      <c r="AC108" s="2"/>
      <c r="AD108" s="2"/>
      <c r="AE108" s="2"/>
      <c r="AF108" s="2"/>
      <c r="AK108" s="53"/>
      <c r="AL108" s="18"/>
      <c r="AM108" s="18"/>
      <c r="AN108" s="18"/>
      <c r="AO108" s="18"/>
      <c r="AP108" s="18"/>
      <c r="AQ108" s="18"/>
      <c r="AR108" s="18"/>
      <c r="AS108" s="18"/>
      <c r="AT108" s="18"/>
      <c r="AU108" s="18"/>
      <c r="AV108" s="18"/>
      <c r="AW108" s="18"/>
      <c r="AX108" s="18"/>
      <c r="AY108" s="18"/>
      <c r="BA108" s="18"/>
      <c r="BB108" s="18"/>
      <c r="BC108" s="18"/>
      <c r="BD108" s="18"/>
      <c r="BE108" s="18"/>
      <c r="BF108" s="18"/>
      <c r="BG108" s="18"/>
      <c r="BH108" s="18"/>
      <c r="BI108" s="18"/>
      <c r="BJ108" s="18"/>
      <c r="BK108" s="18"/>
      <c r="BL108" s="18"/>
      <c r="BM108" s="18"/>
      <c r="BN108" s="18"/>
      <c r="BO108" s="18"/>
      <c r="BP108" s="18"/>
    </row>
    <row r="109" spans="1:68" x14ac:dyDescent="0.3">
      <c r="B109" s="18"/>
      <c r="C109" s="18"/>
      <c r="D109" s="18"/>
      <c r="E109" s="18"/>
      <c r="F109" s="18"/>
      <c r="G109" s="18"/>
      <c r="H109" s="18"/>
      <c r="I109" s="33"/>
      <c r="J109" s="33"/>
      <c r="K109" s="37"/>
      <c r="L109" s="28"/>
      <c r="X109" s="12" t="s">
        <v>250</v>
      </c>
      <c r="Y109" s="200" t="e">
        <f>Y97</f>
        <v>#N/A</v>
      </c>
      <c r="Z109" s="200" t="e">
        <f t="shared" ref="Z109:AA109" si="20">Z97</f>
        <v>#N/A</v>
      </c>
      <c r="AA109" s="200" t="e">
        <f t="shared" si="20"/>
        <v>#N/A</v>
      </c>
      <c r="AB109" s="8" t="s">
        <v>106</v>
      </c>
      <c r="AK109" s="53"/>
      <c r="AL109" s="18"/>
      <c r="AM109" s="18"/>
      <c r="AN109" s="18"/>
      <c r="AO109" s="18"/>
      <c r="AP109" s="18"/>
      <c r="AQ109" s="18"/>
      <c r="AR109" s="18"/>
      <c r="AS109" s="18"/>
      <c r="AT109" s="18"/>
      <c r="AU109" s="18"/>
      <c r="AV109" s="18"/>
      <c r="AW109" s="18"/>
      <c r="AX109" s="18"/>
      <c r="AY109" s="18"/>
      <c r="BA109" s="18"/>
      <c r="BB109" s="18"/>
      <c r="BC109" s="18"/>
      <c r="BD109" s="18"/>
      <c r="BE109" s="18"/>
      <c r="BF109" s="18"/>
      <c r="BG109" s="18"/>
      <c r="BH109" s="18"/>
      <c r="BI109" s="18"/>
      <c r="BJ109" s="18"/>
      <c r="BK109" s="18"/>
      <c r="BL109" s="18"/>
      <c r="BM109" s="18"/>
      <c r="BN109" s="18"/>
      <c r="BO109" s="18"/>
      <c r="BP109" s="18"/>
    </row>
    <row r="110" spans="1:68" s="33" customFormat="1" x14ac:dyDescent="0.3">
      <c r="A110" s="18"/>
      <c r="B110" s="18"/>
      <c r="C110" s="18"/>
      <c r="D110" s="18"/>
      <c r="E110" s="18"/>
      <c r="F110" s="18"/>
      <c r="G110" s="18"/>
      <c r="H110" s="18"/>
      <c r="K110" s="37"/>
      <c r="L110" s="28"/>
      <c r="M110" s="28"/>
      <c r="S110"/>
      <c r="T110"/>
      <c r="U110"/>
      <c r="V110"/>
      <c r="W110"/>
      <c r="X110" s="12" t="s">
        <v>329</v>
      </c>
      <c r="Y110" s="200" t="e">
        <f t="shared" ref="Y110:AA113" si="21">Y101</f>
        <v>#N/A</v>
      </c>
      <c r="Z110" s="200" t="e">
        <f t="shared" si="21"/>
        <v>#N/A</v>
      </c>
      <c r="AA110" s="200" t="e">
        <f t="shared" si="21"/>
        <v>#N/A</v>
      </c>
      <c r="AB110" s="8" t="s">
        <v>106</v>
      </c>
      <c r="AC110"/>
      <c r="AD110"/>
      <c r="AE110"/>
      <c r="AF110"/>
      <c r="AK110" s="53"/>
      <c r="AL110" s="18"/>
      <c r="AM110" s="18"/>
      <c r="AN110" s="18"/>
      <c r="AO110" s="18"/>
      <c r="AP110" s="18"/>
      <c r="AQ110" s="18"/>
      <c r="AR110" s="18"/>
      <c r="AS110" s="18"/>
      <c r="AT110" s="18"/>
      <c r="AU110" s="18"/>
      <c r="AV110" s="18"/>
      <c r="AW110" s="18"/>
      <c r="AX110" s="18"/>
      <c r="AY110" s="18"/>
      <c r="AZ110" s="51"/>
      <c r="BA110" s="18"/>
      <c r="BB110" s="18"/>
      <c r="BC110" s="18"/>
      <c r="BD110" s="18"/>
      <c r="BE110" s="18"/>
      <c r="BF110" s="18"/>
      <c r="BG110" s="18"/>
      <c r="BH110" s="18"/>
      <c r="BI110" s="18"/>
      <c r="BJ110" s="18"/>
      <c r="BK110" s="18"/>
      <c r="BL110" s="18"/>
      <c r="BM110" s="18"/>
      <c r="BN110" s="18"/>
      <c r="BO110" s="18"/>
      <c r="BP110" s="18"/>
    </row>
    <row r="111" spans="1:68" x14ac:dyDescent="0.3">
      <c r="B111" s="18"/>
      <c r="C111" s="18"/>
      <c r="D111" s="18"/>
      <c r="E111" s="18"/>
      <c r="F111" s="18"/>
      <c r="G111" s="18"/>
      <c r="H111" s="18"/>
      <c r="I111" s="33"/>
      <c r="J111" s="33"/>
      <c r="L111" s="28"/>
      <c r="X111" s="12" t="s">
        <v>330</v>
      </c>
      <c r="Y111" s="200" t="e">
        <f t="shared" si="21"/>
        <v>#N/A</v>
      </c>
      <c r="Z111" s="200" t="e">
        <f t="shared" si="21"/>
        <v>#N/A</v>
      </c>
      <c r="AA111" s="200" t="e">
        <f t="shared" si="21"/>
        <v>#N/A</v>
      </c>
      <c r="AB111" s="8" t="s">
        <v>106</v>
      </c>
      <c r="AL111" s="18"/>
      <c r="AM111" s="18"/>
      <c r="AN111" s="18"/>
      <c r="AO111" s="18"/>
      <c r="AP111" s="18"/>
      <c r="AQ111" s="18"/>
      <c r="AR111" s="18"/>
      <c r="AS111" s="18"/>
      <c r="AT111" s="18"/>
      <c r="AU111" s="18"/>
      <c r="AV111" s="18"/>
      <c r="AW111" s="18"/>
      <c r="AX111" s="18"/>
      <c r="AY111" s="18"/>
    </row>
    <row r="112" spans="1:68" ht="18" x14ac:dyDescent="0.35">
      <c r="B112" s="21" t="s">
        <v>126</v>
      </c>
      <c r="C112" s="18"/>
      <c r="D112" s="18"/>
      <c r="E112" s="18"/>
      <c r="F112" s="18"/>
      <c r="G112" s="341" t="s">
        <v>251</v>
      </c>
      <c r="H112" s="50"/>
      <c r="I112" s="50"/>
      <c r="J112" s="50"/>
      <c r="K112" s="18"/>
      <c r="L112" s="28"/>
      <c r="X112" s="12" t="s">
        <v>331</v>
      </c>
      <c r="Y112" s="200" t="e">
        <f t="shared" si="21"/>
        <v>#N/A</v>
      </c>
      <c r="Z112" s="200" t="e">
        <f t="shared" si="21"/>
        <v>#N/A</v>
      </c>
      <c r="AA112" s="200" t="e">
        <f t="shared" si="21"/>
        <v>#N/A</v>
      </c>
      <c r="AB112" s="8" t="s">
        <v>106</v>
      </c>
      <c r="AL112" s="18"/>
      <c r="AM112" s="18"/>
      <c r="AN112" s="18"/>
      <c r="AO112" s="18"/>
      <c r="AP112" s="18"/>
      <c r="AQ112" s="18"/>
      <c r="AR112" s="18"/>
      <c r="AS112" s="18"/>
      <c r="AT112" s="18"/>
      <c r="AU112" s="18"/>
      <c r="AV112" s="18"/>
      <c r="AW112" s="18"/>
      <c r="AX112" s="18"/>
      <c r="AY112" s="18"/>
    </row>
    <row r="113" spans="1:52" ht="15" thickBot="1" x14ac:dyDescent="0.35">
      <c r="B113" s="257" t="s">
        <v>140</v>
      </c>
      <c r="C113" s="258"/>
      <c r="D113" s="259" t="s">
        <v>142</v>
      </c>
      <c r="E113" s="260" t="s">
        <v>143</v>
      </c>
      <c r="F113" s="18"/>
      <c r="G113" s="50" t="s">
        <v>335</v>
      </c>
      <c r="H113" s="50" t="s">
        <v>340</v>
      </c>
      <c r="I113" s="50"/>
      <c r="J113" s="50"/>
      <c r="K113" s="18"/>
      <c r="L113" s="28"/>
      <c r="X113" s="159" t="s">
        <v>332</v>
      </c>
      <c r="Y113" s="200" t="e">
        <f t="shared" si="21"/>
        <v>#N/A</v>
      </c>
      <c r="Z113" s="200" t="e">
        <f t="shared" si="21"/>
        <v>#N/A</v>
      </c>
      <c r="AA113" s="200" t="e">
        <f t="shared" si="21"/>
        <v>#N/A</v>
      </c>
      <c r="AB113" s="10" t="s">
        <v>106</v>
      </c>
      <c r="AC113" s="33"/>
      <c r="AD113" s="33"/>
      <c r="AE113" s="33"/>
      <c r="AF113" s="33"/>
      <c r="AL113" s="18"/>
      <c r="AM113" s="18"/>
      <c r="AN113" s="18"/>
      <c r="AO113" s="18"/>
      <c r="AP113" s="18"/>
      <c r="AQ113" s="18"/>
      <c r="AR113" s="18"/>
      <c r="AS113" s="18"/>
      <c r="AT113" s="18"/>
      <c r="AU113" s="18"/>
      <c r="AV113" s="18"/>
      <c r="AW113" s="18"/>
      <c r="AX113" s="18"/>
      <c r="AY113" s="18"/>
    </row>
    <row r="114" spans="1:52" x14ac:dyDescent="0.3">
      <c r="B114" s="228" t="s">
        <v>116</v>
      </c>
      <c r="C114" s="116"/>
      <c r="D114" s="123" t="s">
        <v>158</v>
      </c>
      <c r="E114" s="245" t="s">
        <v>161</v>
      </c>
      <c r="G114" s="50"/>
      <c r="H114" s="50" t="s">
        <v>338</v>
      </c>
      <c r="I114" s="50"/>
      <c r="J114" s="50"/>
      <c r="K114" s="18"/>
      <c r="L114" s="28"/>
      <c r="AC114" s="33"/>
      <c r="AD114" s="33"/>
      <c r="AE114" s="33"/>
      <c r="AF114" s="33"/>
    </row>
    <row r="115" spans="1:52" x14ac:dyDescent="0.3">
      <c r="B115" s="228" t="s">
        <v>141</v>
      </c>
      <c r="C115" s="116"/>
      <c r="D115" s="125" t="s">
        <v>156</v>
      </c>
      <c r="E115" s="245" t="s">
        <v>157</v>
      </c>
      <c r="G115" s="50" t="s">
        <v>336</v>
      </c>
      <c r="H115" s="50" t="s">
        <v>341</v>
      </c>
      <c r="I115" s="50"/>
      <c r="J115" s="50"/>
      <c r="K115" s="18"/>
      <c r="L115" s="28"/>
      <c r="AC115" s="33"/>
      <c r="AD115" s="33"/>
      <c r="AE115" s="33"/>
      <c r="AF115" s="33"/>
    </row>
    <row r="116" spans="1:52" s="33" customFormat="1" x14ac:dyDescent="0.3">
      <c r="A116" s="18"/>
      <c r="B116" s="228"/>
      <c r="C116" s="116"/>
      <c r="D116" s="123" t="s">
        <v>159</v>
      </c>
      <c r="E116" s="245" t="s">
        <v>160</v>
      </c>
      <c r="G116" s="50" t="s">
        <v>344</v>
      </c>
      <c r="H116" s="50" t="s">
        <v>346</v>
      </c>
      <c r="I116" s="50"/>
      <c r="J116" s="50"/>
      <c r="L116" s="37"/>
      <c r="M116" s="28"/>
      <c r="X116" s="291"/>
      <c r="AK116" s="49"/>
      <c r="AZ116" s="51"/>
    </row>
    <row r="117" spans="1:52" s="33" customFormat="1" x14ac:dyDescent="0.3">
      <c r="A117" s="18"/>
      <c r="B117" s="228"/>
      <c r="C117" s="116"/>
      <c r="D117" s="261" t="s">
        <v>226</v>
      </c>
      <c r="E117" s="262" t="s">
        <v>227</v>
      </c>
      <c r="G117" s="50" t="s">
        <v>345</v>
      </c>
      <c r="H117" s="50" t="s">
        <v>347</v>
      </c>
      <c r="I117" s="50"/>
      <c r="J117" s="50"/>
      <c r="K117"/>
      <c r="L117" s="37"/>
      <c r="M117" s="28"/>
      <c r="N117"/>
      <c r="O117"/>
      <c r="P117"/>
      <c r="Q117"/>
      <c r="R117"/>
      <c r="S117"/>
      <c r="T117"/>
      <c r="U117"/>
      <c r="V117"/>
      <c r="W117"/>
      <c r="X117"/>
      <c r="Y117"/>
      <c r="Z117"/>
      <c r="AA117"/>
      <c r="AC117"/>
      <c r="AD117"/>
      <c r="AE117"/>
      <c r="AF117"/>
      <c r="AK117" s="49"/>
      <c r="AZ117" s="51"/>
    </row>
    <row r="118" spans="1:52" s="33" customFormat="1" ht="18" x14ac:dyDescent="0.35">
      <c r="A118" s="18"/>
      <c r="B118" s="263"/>
      <c r="C118" s="230"/>
      <c r="D118" s="264" t="s">
        <v>240</v>
      </c>
      <c r="E118" s="265" t="s">
        <v>241</v>
      </c>
      <c r="G118" s="50" t="s">
        <v>337</v>
      </c>
      <c r="H118" s="50" t="s">
        <v>342</v>
      </c>
      <c r="I118" s="50"/>
      <c r="J118" s="50"/>
      <c r="L118" s="37"/>
      <c r="M118" s="28"/>
      <c r="N118"/>
      <c r="O118"/>
      <c r="P118"/>
      <c r="Q118"/>
      <c r="R118"/>
      <c r="AK118" s="49"/>
      <c r="AZ118" s="51"/>
    </row>
    <row r="119" spans="1:52" s="33" customFormat="1" x14ac:dyDescent="0.3">
      <c r="A119" s="18"/>
      <c r="G119" s="50" t="s">
        <v>344</v>
      </c>
      <c r="H119" s="50" t="s">
        <v>351</v>
      </c>
      <c r="I119" s="50"/>
      <c r="J119" s="50"/>
      <c r="K119"/>
      <c r="L119" s="37"/>
      <c r="M119" s="28"/>
      <c r="S119"/>
      <c r="T119"/>
      <c r="U119"/>
      <c r="V119"/>
      <c r="W119"/>
      <c r="X119"/>
      <c r="Y119"/>
      <c r="Z119"/>
      <c r="AA119"/>
      <c r="AC119"/>
      <c r="AD119"/>
      <c r="AE119"/>
      <c r="AF119"/>
      <c r="AK119" s="49"/>
      <c r="AZ119" s="51"/>
    </row>
    <row r="120" spans="1:52" s="2" customFormat="1" x14ac:dyDescent="0.3">
      <c r="A120" s="24"/>
      <c r="G120" s="50" t="s">
        <v>345</v>
      </c>
      <c r="H120" s="50" t="s">
        <v>348</v>
      </c>
      <c r="I120" s="50"/>
      <c r="J120" s="50"/>
      <c r="K120"/>
      <c r="L120" s="37"/>
      <c r="M120" s="28"/>
      <c r="S120"/>
      <c r="T120"/>
      <c r="U120"/>
      <c r="V120"/>
      <c r="W120"/>
      <c r="X120"/>
      <c r="Y120"/>
      <c r="Z120"/>
      <c r="AA120"/>
      <c r="AB120" s="33"/>
      <c r="AC120"/>
      <c r="AD120"/>
      <c r="AE120"/>
      <c r="AF120"/>
      <c r="AK120" s="54"/>
      <c r="AS120" s="43"/>
      <c r="AT120" s="43"/>
      <c r="AU120" s="43"/>
      <c r="AV120" s="43"/>
      <c r="AW120" s="43"/>
      <c r="AX120" s="43"/>
      <c r="AY120" s="43"/>
      <c r="AZ120" s="52"/>
    </row>
    <row r="121" spans="1:52" x14ac:dyDescent="0.3">
      <c r="G121" s="50" t="s">
        <v>349</v>
      </c>
      <c r="H121" s="50" t="s">
        <v>350</v>
      </c>
      <c r="I121" s="50"/>
      <c r="J121" s="50"/>
    </row>
    <row r="122" spans="1:52" ht="16.8" x14ac:dyDescent="0.3">
      <c r="B122" s="35" t="s">
        <v>277</v>
      </c>
      <c r="C122" s="2"/>
      <c r="D122" s="320" t="s">
        <v>271</v>
      </c>
      <c r="E122" s="2"/>
      <c r="F122" s="2"/>
    </row>
    <row r="123" spans="1:52" x14ac:dyDescent="0.3">
      <c r="B123" s="33">
        <v>121.7</v>
      </c>
      <c r="C123" t="s">
        <v>274</v>
      </c>
      <c r="D123" s="18" t="s">
        <v>272</v>
      </c>
      <c r="I123" s="62"/>
      <c r="J123" s="63"/>
      <c r="K123" s="62"/>
    </row>
    <row r="124" spans="1:52" x14ac:dyDescent="0.3">
      <c r="B124" s="13" t="e">
        <f>(O72*1000)/B123</f>
        <v>#N/A</v>
      </c>
      <c r="C124" s="1" t="s">
        <v>275</v>
      </c>
      <c r="G124" s="33"/>
      <c r="H124" s="33"/>
      <c r="I124" s="33"/>
      <c r="J124" s="33"/>
      <c r="K124" s="33"/>
      <c r="M124" s="174"/>
      <c r="S124" s="33"/>
      <c r="T124" s="33"/>
      <c r="U124" s="33"/>
      <c r="V124" s="33"/>
      <c r="W124" s="33"/>
      <c r="X124" s="33"/>
      <c r="Y124" s="33"/>
      <c r="Z124" s="33"/>
      <c r="AA124" s="33"/>
      <c r="AC124" s="33"/>
      <c r="AD124" s="33"/>
      <c r="AE124" s="33"/>
      <c r="AF124" s="33"/>
    </row>
    <row r="125" spans="1:52" s="33" customFormat="1" x14ac:dyDescent="0.3">
      <c r="A125" s="18"/>
      <c r="L125" s="37"/>
      <c r="M125" s="174"/>
      <c r="AK125" s="49"/>
      <c r="AZ125" s="51"/>
    </row>
    <row r="126" spans="1:52" s="33" customFormat="1" x14ac:dyDescent="0.3">
      <c r="A126" s="18"/>
      <c r="C126" s="351"/>
      <c r="D126" s="351"/>
      <c r="E126" s="351"/>
      <c r="F126" s="351"/>
      <c r="L126" s="37"/>
      <c r="M126" s="174"/>
      <c r="AK126" s="49"/>
      <c r="AZ126" s="51"/>
    </row>
    <row r="127" spans="1:52" s="33" customFormat="1" x14ac:dyDescent="0.3">
      <c r="A127" s="18"/>
      <c r="C127"/>
      <c r="D127"/>
      <c r="E127"/>
      <c r="F127"/>
      <c r="G127"/>
      <c r="H127"/>
      <c r="I127"/>
      <c r="J127"/>
      <c r="K127"/>
      <c r="L127" s="37"/>
      <c r="M127" s="28"/>
      <c r="S127"/>
      <c r="T127"/>
      <c r="U127"/>
      <c r="V127"/>
      <c r="W127"/>
      <c r="X127"/>
      <c r="Y127"/>
      <c r="Z127"/>
      <c r="AA127"/>
      <c r="AC127"/>
      <c r="AD127"/>
      <c r="AE127"/>
      <c r="AF127"/>
      <c r="AK127" s="49"/>
      <c r="AZ127" s="51"/>
    </row>
    <row r="128" spans="1:52" s="33" customFormat="1" x14ac:dyDescent="0.3">
      <c r="A128" s="18"/>
      <c r="C128" s="1"/>
      <c r="D128"/>
      <c r="E128"/>
      <c r="F128"/>
      <c r="G128"/>
      <c r="H128"/>
      <c r="I128"/>
      <c r="J128"/>
      <c r="K128"/>
      <c r="L128" s="37"/>
      <c r="M128" s="28"/>
      <c r="S128"/>
      <c r="T128"/>
      <c r="U128"/>
      <c r="V128"/>
      <c r="W128"/>
      <c r="X128"/>
      <c r="Y128"/>
      <c r="Z128"/>
      <c r="AA128"/>
      <c r="AC128"/>
      <c r="AD128"/>
      <c r="AE128"/>
      <c r="AF128"/>
      <c r="AK128" s="49"/>
      <c r="AZ128" s="51"/>
    </row>
    <row r="129" spans="1:52" x14ac:dyDescent="0.3">
      <c r="D129" s="1"/>
    </row>
    <row r="130" spans="1:52" s="33" customFormat="1" x14ac:dyDescent="0.3">
      <c r="A130" s="18"/>
      <c r="C130"/>
      <c r="D130"/>
      <c r="E130"/>
      <c r="F130"/>
      <c r="G130"/>
      <c r="H130"/>
      <c r="I130"/>
      <c r="J130"/>
      <c r="K130"/>
      <c r="L130" s="37"/>
      <c r="M130" s="28"/>
      <c r="N130"/>
      <c r="O130"/>
      <c r="P130"/>
      <c r="Q130"/>
      <c r="R130"/>
      <c r="S130"/>
      <c r="T130"/>
      <c r="U130"/>
      <c r="V130"/>
      <c r="W130"/>
      <c r="X130"/>
      <c r="Y130"/>
      <c r="Z130"/>
      <c r="AA130"/>
      <c r="AC130"/>
      <c r="AD130"/>
      <c r="AE130"/>
      <c r="AF130"/>
      <c r="AK130" s="49"/>
      <c r="AZ130" s="51"/>
    </row>
    <row r="131" spans="1:52" x14ac:dyDescent="0.3">
      <c r="D131" s="1"/>
      <c r="K131" s="1"/>
    </row>
    <row r="136" spans="1:52" s="33" customFormat="1" x14ac:dyDescent="0.3">
      <c r="A136" s="18"/>
      <c r="C136"/>
      <c r="D136"/>
      <c r="E136"/>
      <c r="F136"/>
      <c r="G136"/>
      <c r="H136"/>
      <c r="I136" s="1"/>
      <c r="J136"/>
      <c r="K136"/>
      <c r="L136" s="37"/>
      <c r="M136" s="28"/>
      <c r="N136"/>
      <c r="O136"/>
      <c r="P136"/>
      <c r="Q136"/>
      <c r="R136"/>
      <c r="S136"/>
      <c r="T136"/>
      <c r="U136"/>
      <c r="V136"/>
      <c r="W136"/>
      <c r="X136"/>
      <c r="Y136"/>
      <c r="Z136"/>
      <c r="AA136"/>
      <c r="AC136"/>
      <c r="AD136"/>
      <c r="AE136"/>
      <c r="AF136"/>
      <c r="AK136" s="49"/>
      <c r="AZ136" s="51"/>
    </row>
    <row r="137" spans="1:52" s="33" customFormat="1" x14ac:dyDescent="0.3">
      <c r="A137" s="18"/>
      <c r="C137"/>
      <c r="D137"/>
      <c r="E137"/>
      <c r="F137"/>
      <c r="G137"/>
      <c r="H137"/>
      <c r="I137" s="15"/>
      <c r="J137"/>
      <c r="K137"/>
      <c r="L137" s="68"/>
      <c r="M137" s="28"/>
      <c r="N137"/>
      <c r="O137"/>
      <c r="P137" s="15"/>
      <c r="Q137"/>
      <c r="R137"/>
      <c r="S137"/>
      <c r="T137"/>
      <c r="U137"/>
      <c r="V137"/>
      <c r="W137"/>
      <c r="X137"/>
      <c r="Y137"/>
      <c r="Z137"/>
      <c r="AA137"/>
      <c r="AC137"/>
      <c r="AD137"/>
      <c r="AE137"/>
      <c r="AF137"/>
      <c r="AK137" s="49"/>
      <c r="AZ137" s="51"/>
    </row>
    <row r="138" spans="1:52" s="33" customFormat="1" x14ac:dyDescent="0.3">
      <c r="A138" s="18"/>
      <c r="C138"/>
      <c r="D138"/>
      <c r="E138" s="15"/>
      <c r="F138"/>
      <c r="G138"/>
      <c r="H138"/>
      <c r="I138" s="15"/>
      <c r="J138"/>
      <c r="K138"/>
      <c r="L138" s="68"/>
      <c r="M138" s="28"/>
      <c r="N138"/>
      <c r="O138"/>
      <c r="P138"/>
      <c r="Q138"/>
      <c r="R138"/>
      <c r="S138"/>
      <c r="T138"/>
      <c r="U138"/>
      <c r="V138"/>
      <c r="W138"/>
      <c r="X138"/>
      <c r="Y138"/>
      <c r="Z138"/>
      <c r="AA138"/>
      <c r="AC138"/>
      <c r="AD138"/>
      <c r="AE138"/>
      <c r="AF138"/>
      <c r="AK138" s="49"/>
      <c r="AZ138" s="51"/>
    </row>
    <row r="139" spans="1:52" x14ac:dyDescent="0.3">
      <c r="E139" s="15"/>
      <c r="I139" s="15"/>
      <c r="L139" s="68"/>
    </row>
    <row r="140" spans="1:52" x14ac:dyDescent="0.3">
      <c r="E140" s="15"/>
      <c r="I140" s="15"/>
    </row>
    <row r="141" spans="1:52" x14ac:dyDescent="0.3">
      <c r="E141" s="15"/>
      <c r="I141" s="15"/>
      <c r="L141" s="68"/>
    </row>
    <row r="142" spans="1:52" x14ac:dyDescent="0.3">
      <c r="I142" s="15"/>
      <c r="L142" s="68"/>
    </row>
    <row r="143" spans="1:52" x14ac:dyDescent="0.3">
      <c r="E143" s="15"/>
      <c r="I143" s="15"/>
    </row>
    <row r="144" spans="1:52" x14ac:dyDescent="0.3">
      <c r="I144" s="15"/>
      <c r="L144" s="68"/>
    </row>
    <row r="145" spans="2:20" x14ac:dyDescent="0.3">
      <c r="I145" s="15"/>
      <c r="L145" s="68"/>
    </row>
    <row r="146" spans="2:20" x14ac:dyDescent="0.3">
      <c r="I146" s="15"/>
      <c r="L146" s="68"/>
    </row>
    <row r="147" spans="2:20" x14ac:dyDescent="0.3">
      <c r="E147" s="15"/>
      <c r="I147" s="15"/>
      <c r="L147" s="68"/>
    </row>
    <row r="148" spans="2:20" x14ac:dyDescent="0.3">
      <c r="E148" s="15"/>
      <c r="I148" s="15"/>
      <c r="L148" s="68"/>
    </row>
    <row r="149" spans="2:20" x14ac:dyDescent="0.3">
      <c r="I149" s="15"/>
    </row>
    <row r="150" spans="2:20" x14ac:dyDescent="0.3">
      <c r="I150" s="15"/>
      <c r="L150" s="68"/>
    </row>
    <row r="151" spans="2:20" x14ac:dyDescent="0.3">
      <c r="E151" s="15"/>
      <c r="I151" s="15"/>
      <c r="L151" s="68"/>
    </row>
    <row r="152" spans="2:20" x14ac:dyDescent="0.3">
      <c r="E152" s="15"/>
      <c r="I152" s="15"/>
      <c r="L152" s="68"/>
    </row>
    <row r="154" spans="2:20" x14ac:dyDescent="0.3">
      <c r="B154" s="351"/>
      <c r="C154" s="351"/>
      <c r="D154" s="351"/>
      <c r="E154" s="351"/>
      <c r="F154" s="351"/>
      <c r="G154" s="351"/>
      <c r="H154" s="351"/>
      <c r="I154" s="351"/>
      <c r="J154" s="351"/>
      <c r="K154" s="351"/>
      <c r="L154" s="352"/>
      <c r="M154" s="352"/>
    </row>
    <row r="155" spans="2:20" x14ac:dyDescent="0.3">
      <c r="B155" s="351"/>
      <c r="C155" s="351"/>
      <c r="D155" s="351"/>
      <c r="E155" s="351"/>
      <c r="F155" s="351"/>
      <c r="G155" s="351"/>
      <c r="H155" s="351"/>
      <c r="I155" s="351"/>
      <c r="J155" s="351"/>
      <c r="K155" s="351"/>
      <c r="L155" s="352"/>
      <c r="M155" s="352"/>
    </row>
    <row r="156" spans="2:20" x14ac:dyDescent="0.3">
      <c r="B156" s="351"/>
      <c r="C156" s="351"/>
      <c r="D156" s="351"/>
      <c r="E156" s="351"/>
      <c r="F156" s="351"/>
      <c r="G156" s="351"/>
      <c r="H156" s="351"/>
      <c r="I156" s="351"/>
      <c r="J156" s="351"/>
      <c r="K156" s="351"/>
      <c r="L156" s="352"/>
      <c r="M156" s="352"/>
    </row>
    <row r="157" spans="2:20" x14ac:dyDescent="0.3">
      <c r="B157" s="351"/>
      <c r="C157" s="351"/>
      <c r="D157" s="351"/>
      <c r="E157" s="351"/>
      <c r="F157" s="351"/>
      <c r="G157" s="351"/>
      <c r="H157" s="351"/>
      <c r="I157" s="351"/>
      <c r="J157" s="351"/>
      <c r="K157" s="351"/>
      <c r="L157" s="352"/>
      <c r="M157" s="352"/>
    </row>
    <row r="158" spans="2:20" x14ac:dyDescent="0.3">
      <c r="B158" s="351"/>
      <c r="C158" s="351"/>
      <c r="D158" s="351"/>
      <c r="E158" s="351"/>
      <c r="F158" s="351"/>
      <c r="G158" s="351"/>
      <c r="H158" s="351"/>
      <c r="I158" s="351"/>
      <c r="J158" s="351"/>
      <c r="K158" s="351"/>
      <c r="L158" s="352"/>
      <c r="M158" s="352"/>
    </row>
    <row r="159" spans="2:20" x14ac:dyDescent="0.3">
      <c r="B159" s="351"/>
      <c r="C159" s="382"/>
      <c r="D159" s="351"/>
      <c r="E159" s="351"/>
      <c r="F159" s="351"/>
      <c r="G159" s="351"/>
      <c r="H159" s="351"/>
      <c r="I159" s="351"/>
      <c r="J159" s="382"/>
      <c r="K159" s="351"/>
      <c r="L159" s="352"/>
      <c r="M159" s="352"/>
      <c r="R159" s="35"/>
    </row>
    <row r="160" spans="2:20" x14ac:dyDescent="0.3">
      <c r="B160" s="351"/>
      <c r="C160" s="351"/>
      <c r="D160" s="382"/>
      <c r="E160" s="351"/>
      <c r="F160" s="351"/>
      <c r="G160" s="351"/>
      <c r="H160" s="351"/>
      <c r="I160" s="351"/>
      <c r="J160" s="351"/>
      <c r="K160" s="382"/>
      <c r="L160" s="352"/>
      <c r="M160" s="352"/>
      <c r="R160" s="35"/>
      <c r="S160" s="35"/>
      <c r="T160" s="35"/>
    </row>
    <row r="161" spans="2:24" x14ac:dyDescent="0.3">
      <c r="B161" s="351"/>
      <c r="C161" s="351"/>
      <c r="D161" s="351"/>
      <c r="E161" s="351"/>
      <c r="F161" s="351"/>
      <c r="G161" s="351"/>
      <c r="H161" s="351"/>
      <c r="I161" s="351"/>
      <c r="J161" s="351"/>
      <c r="K161" s="351"/>
      <c r="L161" s="352"/>
      <c r="M161" s="352"/>
      <c r="T161" s="39"/>
    </row>
    <row r="162" spans="2:24" x14ac:dyDescent="0.3">
      <c r="B162" s="351"/>
      <c r="C162" s="351"/>
      <c r="D162" s="351"/>
      <c r="E162" s="351"/>
      <c r="F162" s="351"/>
      <c r="G162" s="351"/>
      <c r="H162" s="351"/>
      <c r="I162" s="351"/>
      <c r="J162" s="351"/>
      <c r="K162" s="351"/>
      <c r="L162" s="352"/>
      <c r="M162" s="352"/>
      <c r="T162" s="39"/>
    </row>
    <row r="163" spans="2:24" x14ac:dyDescent="0.3">
      <c r="B163" s="351"/>
      <c r="C163" s="351"/>
      <c r="D163" s="351"/>
      <c r="E163" s="351"/>
      <c r="F163" s="351"/>
      <c r="G163" s="351"/>
      <c r="H163" s="351"/>
      <c r="I163" s="351"/>
      <c r="J163" s="351"/>
      <c r="K163" s="351"/>
      <c r="L163" s="352"/>
      <c r="M163" s="352"/>
      <c r="T163" s="39"/>
    </row>
    <row r="164" spans="2:24" x14ac:dyDescent="0.3">
      <c r="T164" s="39"/>
    </row>
    <row r="168" spans="2:24" x14ac:dyDescent="0.3">
      <c r="R168" s="35"/>
      <c r="T168" s="35"/>
      <c r="U168" s="35"/>
      <c r="V168" s="35"/>
    </row>
    <row r="169" spans="2:24" x14ac:dyDescent="0.3">
      <c r="C169" s="33"/>
      <c r="D169" s="33"/>
      <c r="R169" s="33"/>
      <c r="T169" s="40"/>
      <c r="X169" s="39"/>
    </row>
    <row r="170" spans="2:24" x14ac:dyDescent="0.3">
      <c r="C170" s="33"/>
      <c r="D170" s="33"/>
      <c r="T170" s="40"/>
      <c r="X170" s="39"/>
    </row>
    <row r="171" spans="2:24" x14ac:dyDescent="0.3">
      <c r="C171" s="33"/>
      <c r="D171" s="33"/>
      <c r="L171" s="68"/>
      <c r="R171" s="33"/>
      <c r="T171" s="40"/>
    </row>
    <row r="172" spans="2:24" x14ac:dyDescent="0.3">
      <c r="C172" s="33"/>
      <c r="D172" s="33"/>
      <c r="L172" s="68"/>
      <c r="T172" s="40"/>
    </row>
    <row r="173" spans="2:24" x14ac:dyDescent="0.3">
      <c r="C173" s="33"/>
      <c r="D173" s="33"/>
      <c r="L173" s="68"/>
      <c r="R173" s="33"/>
      <c r="T173" s="40"/>
    </row>
    <row r="174" spans="2:24" x14ac:dyDescent="0.3">
      <c r="C174" s="33"/>
      <c r="D174" s="33"/>
      <c r="R174" s="33"/>
      <c r="T174" s="40"/>
    </row>
    <row r="176" spans="2:24" x14ac:dyDescent="0.3">
      <c r="L176" s="68"/>
    </row>
    <row r="178" spans="3:18" x14ac:dyDescent="0.3">
      <c r="C178" s="33"/>
      <c r="D178" s="33"/>
      <c r="E178" s="33"/>
      <c r="R178" s="46"/>
    </row>
    <row r="179" spans="3:18" x14ac:dyDescent="0.3">
      <c r="C179" s="33"/>
      <c r="D179" s="33"/>
      <c r="E179" s="33"/>
      <c r="R179" s="46"/>
    </row>
    <row r="180" spans="3:18" x14ac:dyDescent="0.3">
      <c r="C180" s="33"/>
      <c r="D180" s="33"/>
      <c r="E180" s="46"/>
      <c r="L180" s="68"/>
      <c r="R180" s="46"/>
    </row>
    <row r="181" spans="3:18" x14ac:dyDescent="0.3">
      <c r="C181" s="33"/>
      <c r="D181" s="33"/>
      <c r="E181" s="46"/>
      <c r="R181" s="46"/>
    </row>
    <row r="182" spans="3:18" x14ac:dyDescent="0.3">
      <c r="C182" s="33"/>
      <c r="D182" s="33"/>
      <c r="E182" s="46"/>
    </row>
    <row r="183" spans="3:18" x14ac:dyDescent="0.3">
      <c r="C183" s="33"/>
      <c r="D183" s="33"/>
      <c r="E183" s="46"/>
      <c r="R183" s="46"/>
    </row>
    <row r="184" spans="3:18" x14ac:dyDescent="0.3">
      <c r="C184" s="33"/>
      <c r="D184" s="33"/>
      <c r="E184" s="33"/>
    </row>
    <row r="185" spans="3:18" x14ac:dyDescent="0.3">
      <c r="C185" s="33"/>
      <c r="D185" s="33"/>
      <c r="E185" s="46"/>
      <c r="L185" s="68"/>
    </row>
    <row r="186" spans="3:18" x14ac:dyDescent="0.3">
      <c r="C186" s="33"/>
      <c r="D186" s="33"/>
      <c r="E186" s="33"/>
    </row>
    <row r="187" spans="3:18" x14ac:dyDescent="0.3">
      <c r="C187" s="33"/>
      <c r="D187" s="33"/>
      <c r="E187" s="33"/>
      <c r="R187" s="46"/>
    </row>
    <row r="188" spans="3:18" x14ac:dyDescent="0.3">
      <c r="C188" s="33"/>
      <c r="D188" s="33"/>
      <c r="E188" s="33"/>
    </row>
    <row r="189" spans="3:18" x14ac:dyDescent="0.3">
      <c r="C189" s="33"/>
      <c r="D189" s="33"/>
      <c r="E189" s="46"/>
    </row>
    <row r="190" spans="3:18" x14ac:dyDescent="0.3">
      <c r="C190" s="33"/>
      <c r="D190" s="33"/>
      <c r="E190" s="33"/>
    </row>
    <row r="191" spans="3:18" x14ac:dyDescent="0.3">
      <c r="C191" s="33"/>
      <c r="D191" s="33"/>
      <c r="E191" s="33"/>
      <c r="R191" s="46"/>
    </row>
    <row r="192" spans="3:18" x14ac:dyDescent="0.3">
      <c r="C192" s="33"/>
      <c r="D192" s="33"/>
      <c r="E192" s="33"/>
      <c r="R192" s="46"/>
    </row>
    <row r="193" spans="3:5" x14ac:dyDescent="0.3">
      <c r="C193" s="33"/>
      <c r="D193" s="33"/>
      <c r="E193" s="46"/>
    </row>
    <row r="194" spans="3:5" x14ac:dyDescent="0.3">
      <c r="C194" s="33"/>
      <c r="D194" s="33"/>
      <c r="E194" s="46"/>
    </row>
    <row r="198" spans="3:5" x14ac:dyDescent="0.3">
      <c r="C198" s="1"/>
      <c r="E198" s="15"/>
    </row>
    <row r="199" spans="3:5" x14ac:dyDescent="0.3">
      <c r="D199" s="1"/>
    </row>
    <row r="216" spans="5:5" ht="19.8" customHeight="1" x14ac:dyDescent="0.3"/>
    <row r="217" spans="5:5" ht="13.2" customHeight="1" x14ac:dyDescent="0.3"/>
    <row r="218" spans="5:5" ht="13.2" customHeight="1" x14ac:dyDescent="0.3"/>
    <row r="219" spans="5:5" ht="13.2" customHeight="1" x14ac:dyDescent="0.3"/>
    <row r="220" spans="5:5" ht="13.2" customHeight="1" x14ac:dyDescent="0.3">
      <c r="E220" s="15"/>
    </row>
    <row r="221" spans="5:5" ht="13.2" customHeight="1" x14ac:dyDescent="0.3">
      <c r="E221" s="15"/>
    </row>
    <row r="222" spans="5:5" ht="13.2" customHeight="1" x14ac:dyDescent="0.3">
      <c r="E222" s="15"/>
    </row>
    <row r="223" spans="5:5" ht="13.2" customHeight="1" x14ac:dyDescent="0.3">
      <c r="E223" s="15"/>
    </row>
    <row r="224" spans="5:5" ht="13.2" customHeight="1" x14ac:dyDescent="0.3"/>
    <row r="225" spans="3:5" ht="13.2" customHeight="1" x14ac:dyDescent="0.3">
      <c r="E225" s="15"/>
    </row>
    <row r="226" spans="3:5" ht="13.2" customHeight="1" x14ac:dyDescent="0.3"/>
    <row r="227" spans="3:5" ht="13.2" customHeight="1" x14ac:dyDescent="0.3"/>
    <row r="228" spans="3:5" ht="13.2" customHeight="1" x14ac:dyDescent="0.3"/>
    <row r="229" spans="3:5" ht="13.2" customHeight="1" x14ac:dyDescent="0.3">
      <c r="E229" s="15"/>
    </row>
    <row r="230" spans="3:5" ht="13.2" customHeight="1" x14ac:dyDescent="0.3"/>
    <row r="231" spans="3:5" ht="13.2" customHeight="1" x14ac:dyDescent="0.3"/>
    <row r="232" spans="3:5" ht="13.2" customHeight="1" x14ac:dyDescent="0.3"/>
    <row r="233" spans="3:5" ht="13.2" customHeight="1" x14ac:dyDescent="0.3">
      <c r="E233" s="15"/>
    </row>
    <row r="234" spans="3:5" ht="13.2" customHeight="1" x14ac:dyDescent="0.3">
      <c r="E234" s="15"/>
    </row>
    <row r="235" spans="3:5" ht="13.2" customHeight="1" x14ac:dyDescent="0.3"/>
    <row r="236" spans="3:5" ht="13.2" customHeight="1" x14ac:dyDescent="0.3">
      <c r="C236" s="1"/>
    </row>
    <row r="237" spans="3:5" ht="13.2" customHeight="1" x14ac:dyDescent="0.3">
      <c r="D237" s="1"/>
    </row>
    <row r="238" spans="3:5" ht="13.2" customHeight="1" x14ac:dyDescent="0.3"/>
    <row r="239" spans="3:5" ht="13.2" customHeight="1" x14ac:dyDescent="0.3"/>
    <row r="240" spans="3:5" ht="13.8" customHeight="1" x14ac:dyDescent="0.3"/>
    <row r="241" ht="13.8" customHeight="1" x14ac:dyDescent="0.3"/>
    <row r="242" ht="13.8" customHeight="1" x14ac:dyDescent="0.3"/>
    <row r="243" ht="13.8" customHeight="1" x14ac:dyDescent="0.3"/>
    <row r="257" spans="5:5" x14ac:dyDescent="0.3">
      <c r="E257" s="15"/>
    </row>
    <row r="258" spans="5:5" x14ac:dyDescent="0.3">
      <c r="E258" s="15"/>
    </row>
    <row r="259" spans="5:5" x14ac:dyDescent="0.3">
      <c r="E259" s="15"/>
    </row>
    <row r="262" spans="5:5" x14ac:dyDescent="0.3">
      <c r="E262" s="15"/>
    </row>
    <row r="266" spans="5:5" x14ac:dyDescent="0.3">
      <c r="E266" s="15"/>
    </row>
    <row r="270" spans="5:5" x14ac:dyDescent="0.3">
      <c r="E270" s="15"/>
    </row>
    <row r="271" spans="5:5" x14ac:dyDescent="0.3">
      <c r="E271" s="15"/>
    </row>
    <row r="274" spans="3:4" x14ac:dyDescent="0.3">
      <c r="C274" s="1"/>
      <c r="D274" s="1"/>
    </row>
    <row r="275" spans="3:4" x14ac:dyDescent="0.3">
      <c r="D275" s="1"/>
    </row>
    <row r="298" spans="5:8" x14ac:dyDescent="0.3">
      <c r="E298" s="15"/>
      <c r="G298" s="15"/>
      <c r="H298" s="15"/>
    </row>
    <row r="299" spans="5:8" x14ac:dyDescent="0.3">
      <c r="E299" s="15"/>
      <c r="G299" s="15"/>
      <c r="H299" s="15"/>
    </row>
    <row r="300" spans="5:8" x14ac:dyDescent="0.3">
      <c r="E300" s="15"/>
      <c r="G300" s="15"/>
      <c r="H300" s="15"/>
    </row>
    <row r="301" spans="5:8" x14ac:dyDescent="0.3">
      <c r="E301" s="15"/>
      <c r="G301" s="15"/>
      <c r="H301" s="15"/>
    </row>
    <row r="303" spans="5:8" x14ac:dyDescent="0.3">
      <c r="E303" s="15"/>
      <c r="G303" s="15"/>
      <c r="H303" s="15"/>
    </row>
    <row r="304" spans="5:8" x14ac:dyDescent="0.3">
      <c r="G304" s="15"/>
      <c r="H304" s="15"/>
    </row>
    <row r="307" spans="3:8" x14ac:dyDescent="0.3">
      <c r="E307" s="15"/>
      <c r="G307" s="15"/>
      <c r="H307" s="15"/>
    </row>
    <row r="308" spans="3:8" x14ac:dyDescent="0.3">
      <c r="E308" s="15"/>
      <c r="G308" s="15"/>
      <c r="H308" s="15"/>
    </row>
    <row r="311" spans="3:8" x14ac:dyDescent="0.3">
      <c r="G311" s="15"/>
    </row>
    <row r="312" spans="3:8" x14ac:dyDescent="0.3">
      <c r="E312" s="15"/>
      <c r="G312" s="15"/>
      <c r="H312" s="15"/>
    </row>
    <row r="315" spans="3:8" x14ac:dyDescent="0.3">
      <c r="C315" s="1"/>
      <c r="D315" s="1"/>
      <c r="E315" s="15"/>
    </row>
    <row r="316" spans="3:8" x14ac:dyDescent="0.3">
      <c r="D316" s="1"/>
    </row>
    <row r="322" spans="5:8" x14ac:dyDescent="0.3">
      <c r="G322" s="15"/>
      <c r="H322" s="15"/>
    </row>
    <row r="325" spans="5:8" x14ac:dyDescent="0.3">
      <c r="G325" s="15"/>
      <c r="H325" s="15"/>
    </row>
    <row r="326" spans="5:8" x14ac:dyDescent="0.3">
      <c r="E326" s="15"/>
      <c r="G326" s="15"/>
      <c r="H326" s="15"/>
    </row>
    <row r="329" spans="5:8" x14ac:dyDescent="0.3">
      <c r="G329" s="15"/>
    </row>
    <row r="330" spans="5:8" x14ac:dyDescent="0.3">
      <c r="G330" s="15"/>
      <c r="H330" s="15"/>
    </row>
    <row r="338" spans="5:10" x14ac:dyDescent="0.3">
      <c r="E338" s="15"/>
      <c r="G338" s="15"/>
      <c r="H338" s="15"/>
      <c r="I338" s="15"/>
      <c r="J338" s="15"/>
    </row>
    <row r="339" spans="5:10" x14ac:dyDescent="0.3">
      <c r="E339" s="15"/>
      <c r="F339" s="15"/>
      <c r="G339" s="15"/>
      <c r="H339" s="15"/>
      <c r="I339" s="15"/>
      <c r="J339" s="15"/>
    </row>
    <row r="340" spans="5:10" x14ac:dyDescent="0.3">
      <c r="E340" s="15"/>
      <c r="F340" s="15"/>
      <c r="G340" s="15"/>
      <c r="H340" s="15"/>
      <c r="I340" s="15"/>
      <c r="J340" s="15"/>
    </row>
    <row r="341" spans="5:10" x14ac:dyDescent="0.3">
      <c r="E341" s="15"/>
      <c r="G341" s="15"/>
      <c r="H341" s="15"/>
      <c r="I341" s="15"/>
      <c r="J341" s="15"/>
    </row>
    <row r="342" spans="5:10" x14ac:dyDescent="0.3">
      <c r="J342" s="15"/>
    </row>
    <row r="343" spans="5:10" x14ac:dyDescent="0.3">
      <c r="E343" s="15"/>
      <c r="G343" s="15"/>
      <c r="H343" s="15"/>
      <c r="I343" s="15"/>
      <c r="J343" s="15"/>
    </row>
    <row r="344" spans="5:10" x14ac:dyDescent="0.3">
      <c r="G344" s="15"/>
      <c r="I344" s="15"/>
      <c r="J344" s="15"/>
    </row>
    <row r="345" spans="5:10" x14ac:dyDescent="0.3">
      <c r="G345" s="15"/>
      <c r="I345" s="15"/>
      <c r="J345" s="15"/>
    </row>
    <row r="346" spans="5:10" x14ac:dyDescent="0.3">
      <c r="G346" s="15"/>
      <c r="I346" s="15"/>
      <c r="J346" s="15"/>
    </row>
    <row r="347" spans="5:10" x14ac:dyDescent="0.3">
      <c r="E347" s="15"/>
      <c r="G347" s="15"/>
      <c r="H347" s="15"/>
      <c r="I347" s="15"/>
      <c r="J347" s="15"/>
    </row>
    <row r="348" spans="5:10" x14ac:dyDescent="0.3">
      <c r="G348" s="15"/>
      <c r="I348" s="15"/>
      <c r="J348" s="15"/>
    </row>
    <row r="350" spans="5:10" x14ac:dyDescent="0.3">
      <c r="J350" s="15"/>
    </row>
    <row r="351" spans="5:10" x14ac:dyDescent="0.3">
      <c r="E351" s="15"/>
      <c r="G351" s="15"/>
      <c r="H351" s="15"/>
      <c r="I351" s="15"/>
      <c r="J351" s="15"/>
    </row>
    <row r="352" spans="5:10" x14ac:dyDescent="0.3">
      <c r="E352" s="15"/>
      <c r="G352" s="15"/>
      <c r="H352" s="15"/>
      <c r="I352" s="15"/>
      <c r="J352" s="15"/>
    </row>
  </sheetData>
  <conditionalFormatting sqref="AN44">
    <cfRule type="cellIs" dxfId="18" priority="1" operator="lessThan">
      <formula>0</formula>
    </cfRule>
    <cfRule type="cellIs" dxfId="17" priority="3" operator="greaterThan">
      <formula>0</formula>
    </cfRule>
  </conditionalFormatting>
  <dataValidations disablePrompts="1" xWindow="500" yWindow="704" count="2">
    <dataValidation allowBlank="1" showInputMessage="1" showErrorMessage="1" prompt="estimated minimum life time of the system: 10 years" sqref="BE13"/>
    <dataValidation type="list" allowBlank="1" showInputMessage="1" showErrorMessage="1" sqref="BE11">
      <formula1>$F$43:$F$45</formula1>
    </dataValidation>
  </dataValidations>
  <hyperlinks>
    <hyperlink ref="I43" r:id="rId1"/>
    <hyperlink ref="F26" r:id="rId2"/>
    <hyperlink ref="B25" r:id="rId3"/>
  </hyperlinks>
  <pageMargins left="0.7" right="0.7" top="0.75" bottom="0.75" header="0.3" footer="0.3"/>
  <pageSetup paperSize="9" orientation="portrait" r:id="rId4"/>
  <drawing r:id="rId5"/>
  <legacyDrawing r:id="rId6"/>
  <tableParts count="3">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B25"/>
  <sheetViews>
    <sheetView zoomScale="80" zoomScaleNormal="80" workbookViewId="0">
      <selection activeCell="B48" sqref="B48"/>
    </sheetView>
  </sheetViews>
  <sheetFormatPr defaultRowHeight="14.4" x14ac:dyDescent="0.3"/>
  <cols>
    <col min="1" max="1" width="8.88671875" style="18"/>
    <col min="2" max="2" width="126.5546875" style="18" customWidth="1"/>
    <col min="3" max="16384" width="8.88671875" style="18"/>
  </cols>
  <sheetData>
    <row r="2" spans="2:2" x14ac:dyDescent="0.3">
      <c r="B2" s="22" t="s">
        <v>279</v>
      </c>
    </row>
    <row r="4" spans="2:2" x14ac:dyDescent="0.3">
      <c r="B4" s="22" t="s">
        <v>280</v>
      </c>
    </row>
    <row r="5" spans="2:2" x14ac:dyDescent="0.3">
      <c r="B5" s="315" t="s">
        <v>292</v>
      </c>
    </row>
    <row r="6" spans="2:2" x14ac:dyDescent="0.3">
      <c r="B6" s="315" t="s">
        <v>281</v>
      </c>
    </row>
    <row r="7" spans="2:2" x14ac:dyDescent="0.3">
      <c r="B7" s="323" t="s">
        <v>293</v>
      </c>
    </row>
    <row r="8" spans="2:2" x14ac:dyDescent="0.3">
      <c r="B8" s="206"/>
    </row>
    <row r="10" spans="2:2" x14ac:dyDescent="0.3">
      <c r="B10" s="22" t="s">
        <v>282</v>
      </c>
    </row>
    <row r="11" spans="2:2" x14ac:dyDescent="0.3">
      <c r="B11" s="24" t="s">
        <v>339</v>
      </c>
    </row>
    <row r="12" spans="2:2" x14ac:dyDescent="0.3">
      <c r="B12" s="315" t="s">
        <v>283</v>
      </c>
    </row>
    <row r="13" spans="2:2" x14ac:dyDescent="0.3">
      <c r="B13" s="321" t="s">
        <v>284</v>
      </c>
    </row>
    <row r="14" spans="2:2" x14ac:dyDescent="0.3">
      <c r="B14" s="322" t="s">
        <v>285</v>
      </c>
    </row>
    <row r="15" spans="2:2" x14ac:dyDescent="0.3">
      <c r="B15" s="322" t="s">
        <v>358</v>
      </c>
    </row>
    <row r="16" spans="2:2" x14ac:dyDescent="0.3">
      <c r="B16" s="315" t="s">
        <v>291</v>
      </c>
    </row>
    <row r="19" spans="2:2" x14ac:dyDescent="0.3">
      <c r="B19" s="22" t="s">
        <v>278</v>
      </c>
    </row>
    <row r="20" spans="2:2" x14ac:dyDescent="0.3">
      <c r="B20" s="18" t="s">
        <v>286</v>
      </c>
    </row>
    <row r="21" spans="2:2" x14ac:dyDescent="0.3">
      <c r="B21" s="18" t="s">
        <v>287</v>
      </c>
    </row>
    <row r="22" spans="2:2" x14ac:dyDescent="0.3">
      <c r="B22" s="18" t="s">
        <v>288</v>
      </c>
    </row>
    <row r="23" spans="2:2" x14ac:dyDescent="0.3">
      <c r="B23" s="18" t="s">
        <v>289</v>
      </c>
    </row>
    <row r="24" spans="2:2" x14ac:dyDescent="0.3">
      <c r="B24" s="18" t="s">
        <v>290</v>
      </c>
    </row>
    <row r="25" spans="2:2" x14ac:dyDescent="0.3">
      <c r="B25" s="18" t="s">
        <v>352</v>
      </c>
    </row>
  </sheetData>
  <sheetProtection algorithmName="SHA-512" hashValue="mYenlpB/kFB9I/qpJYDkHUGewZPbpcwIeYyMt08Kk2Of7IX1nZ7KWB5Af3AYj44FQ0nluk0YWMlaRBYahRbiCA==" saltValue="wFgcZn/Bg7mVUyxPKjnIjQ==" spinCount="100000" sheet="1" objects="1" scenarios="1"/>
  <hyperlinks>
    <hyperlink ref="B12" r:id="rId1"/>
    <hyperlink ref="B13" r:id="rId2" display="https://www.carbontrust.com/resources/hospitality-sector-energy-saving-guide"/>
    <hyperlink ref="B14" r:id="rId3"/>
    <hyperlink ref="B16" r:id="rId4"/>
    <hyperlink ref="B5" r:id="rId5"/>
    <hyperlink ref="B6" r:id="rId6"/>
    <hyperlink ref="B7" r:id="rId7"/>
    <hyperlink ref="B15" r:id="rId8"/>
  </hyperlinks>
  <pageMargins left="0.7" right="0.7" top="0.75" bottom="0.75"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D9AA937B363441BB7D3FAC8610094D" ma:contentTypeVersion="15" ma:contentTypeDescription="Create a new document." ma:contentTypeScope="" ma:versionID="4f4c7b2fa1458f40a1fd1698f901e646">
  <xsd:schema xmlns:xsd="http://www.w3.org/2001/XMLSchema" xmlns:xs="http://www.w3.org/2001/XMLSchema" xmlns:p="http://schemas.microsoft.com/office/2006/metadata/properties" xmlns:ns1="http://schemas.microsoft.com/sharepoint/v3" xmlns:ns3="150c8770-7514-4bb6-8be5-d8aa7c02d778" xmlns:ns4="663b1443-1dd1-436d-aefc-1612b3ff91fe" targetNamespace="http://schemas.microsoft.com/office/2006/metadata/properties" ma:root="true" ma:fieldsID="62a73b728535c84c933b2907f67e3da2" ns1:_="" ns3:_="" ns4:_="">
    <xsd:import namespace="http://schemas.microsoft.com/sharepoint/v3"/>
    <xsd:import namespace="150c8770-7514-4bb6-8be5-d8aa7c02d778"/>
    <xsd:import namespace="663b1443-1dd1-436d-aefc-1612b3ff91f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0c8770-7514-4bb6-8be5-d8aa7c02d77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3b1443-1dd1-436d-aefc-1612b3ff91fe"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W a t L U n 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F m r S 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q 0 t S K I p H u A 4 A A A A R A A A A E w A c A E Z v c m 1 1 b G F z L 1 N l Y 3 R p b 2 4 x L m 0 g o h g A K K A U A A A A A A A A A A A A A A A A A A A A A A A A A A A A K 0 5 N L s n M z 1 M I h t C G 1 g B Q S w E C L Q A U A A I A C A B Z q 0 t S d b 8 1 V 6 g A A A D 4 A A A A E g A A A A A A A A A A A A A A A A A A A A A A Q 2 9 u Z m l n L 1 B h Y 2 t h Z 2 U u e G 1 s U E s B A i 0 A F A A C A A g A W a t L U g / K 6 a u k A A A A 6 Q A A A B M A A A A A A A A A A A A A A A A A 9 A A A A F t D b 2 5 0 Z W 5 0 X 1 R 5 c G V z X S 5 4 b W x Q S w E C L Q A U A A I A C A B Z q 0 t 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4 b w 9 q 2 o R R E i 0 i 1 b t Z R A 1 z Q A A A A A C A A A A A A A D Z g A A w A A A A B A A A A B N K 0 Y c R D K M M x E D W r m / 8 1 o 5 A A A A A A S A A A C g A A A A E A A A A L c B k g O p e I O F m j l H 3 o 2 M O i V Q A A A A x g s 0 G V H C Q k O o p 8 Z 3 N I 7 y A W e L D h u t F V y N 4 8 I H h Y 5 1 s K 5 k 3 J Q 0 I F V m a p 6 5 f n t f s 9 I / Z L g E / R L w p x 2 S P Z i H N 5 9 M S b T P p F 8 F L Q X g Q V t H F E N / p J 0 U A A A A H P Q r Y c + I q + s E 2 A o P g O D o 2 X b h 9 B Y = < / D a t a M a s h u p > 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8E972-6500-4BAC-82B4-3B48317F2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0c8770-7514-4bb6-8be5-d8aa7c02d778"/>
    <ds:schemaRef ds:uri="663b1443-1dd1-436d-aefc-1612b3ff91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88416F-A57B-4F90-9927-DDD1141A4D66}">
  <ds:schemaRefs>
    <ds:schemaRef ds:uri="http://schemas.microsoft.com/DataMashup"/>
  </ds:schemaRefs>
</ds:datastoreItem>
</file>

<file path=customXml/itemProps3.xml><?xml version="1.0" encoding="utf-8"?>
<ds:datastoreItem xmlns:ds="http://schemas.openxmlformats.org/officeDocument/2006/customXml" ds:itemID="{D3947208-5171-4246-BC69-205F13268CB4}">
  <ds:schemaRefs>
    <ds:schemaRef ds:uri="http://schemas.microsoft.com/sharepoint/v3"/>
    <ds:schemaRef ds:uri="http://purl.org/dc/terms/"/>
    <ds:schemaRef ds:uri="http://schemas.microsoft.com/office/2006/documentManagement/types"/>
    <ds:schemaRef ds:uri="663b1443-1dd1-436d-aefc-1612b3ff91fe"/>
    <ds:schemaRef ds:uri="http://schemas.microsoft.com/office/infopath/2007/PartnerControls"/>
    <ds:schemaRef ds:uri="http://purl.org/dc/elements/1.1/"/>
    <ds:schemaRef ds:uri="http://schemas.openxmlformats.org/package/2006/metadata/core-properties"/>
    <ds:schemaRef ds:uri="150c8770-7514-4bb6-8be5-d8aa7c02d778"/>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E450EF93-491A-4F27-8752-F8F1286D33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Welcome &gt;</vt:lpstr>
      <vt:lpstr>Introduction &gt;</vt:lpstr>
      <vt:lpstr>The heat recovery system &gt;</vt:lpstr>
      <vt:lpstr>Data entry &gt;</vt:lpstr>
      <vt:lpstr>Results !</vt:lpstr>
      <vt:lpstr>Calculations</vt:lpstr>
      <vt:lpstr>Further Readings and References</vt:lpstr>
      <vt:lpstr>costs_parts</vt:lpstr>
      <vt:lpstr>currency</vt:lpstr>
      <vt:lpstr>energy_footprint</vt:lpstr>
      <vt:lpstr>energy_type</vt:lpstr>
      <vt:lpstr>HelpMeal</vt:lpstr>
      <vt:lpstr>kitchen_heat</vt:lpstr>
      <vt:lpstr>kitchen_type</vt:lpstr>
      <vt:lpstr>pipe_currency</vt:lpstr>
      <vt:lpstr>pipe_footprint</vt:lpstr>
      <vt:lpstr>pipe_mat</vt:lpstr>
      <vt:lpstr>pipe_material</vt:lpstr>
    </vt:vector>
  </TitlesOfParts>
  <Company>Pryfysgol Bangor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Schestak</dc:creator>
  <cp:lastModifiedBy>Isabel Schestak</cp:lastModifiedBy>
  <dcterms:created xsi:type="dcterms:W3CDTF">2019-07-11T11:20:35Z</dcterms:created>
  <dcterms:modified xsi:type="dcterms:W3CDTF">2021-03-30T14:25:12Z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0x0101003CD9AA937B363441BB7D3FAC8610094D</vt:lpwstr>
  </property>
</Properties>
</file>